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1640" tabRatio="599" firstSheet="11" activeTab="11"/>
  </bookViews>
  <sheets>
    <sheet name="Лист1" sheetId="1" state="hidden" r:id="rId1"/>
    <sheet name="Лист2" sheetId="2" state="hidden" r:id="rId2"/>
    <sheet name="Ф3.1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  <sheet name="Лист8" sheetId="9" state="hidden" r:id="rId9"/>
    <sheet name="П1.15" sheetId="10" state="hidden" r:id="rId10"/>
    <sheet name="НВВ 1" sheetId="11" state="hidden" r:id="rId11"/>
    <sheet name="НВВ 2" sheetId="12" r:id="rId12"/>
    <sheet name="Доля" sheetId="13" state="hidden" r:id="rId13"/>
    <sheet name="НВВ с коррект" sheetId="14" state="hidden" r:id="rId14"/>
    <sheet name="Коррект ПР" sheetId="15" state="hidden" r:id="rId15"/>
    <sheet name="Коррект НР" sheetId="16" state="hidden" r:id="rId16"/>
    <sheet name="Коррект по ПО" sheetId="17" state="hidden" r:id="rId17"/>
    <sheet name="Коррект Кнк (1)" sheetId="18" state="hidden" r:id="rId18"/>
    <sheet name="П1.16" sheetId="19" state="hidden" r:id="rId19"/>
    <sheet name="Аморт" sheetId="20" state="hidden" r:id="rId20"/>
    <sheet name="П1.17Ам" sheetId="21" state="hidden" r:id="rId21"/>
    <sheet name="П1.17.1" sheetId="22" state="hidden" r:id="rId22"/>
    <sheet name=" П1.18.2" sheetId="23" state="hidden" r:id="rId23"/>
    <sheet name="Лист17" sheetId="24" state="hidden" r:id="rId24"/>
    <sheet name="Лист18" sheetId="25" state="hidden" r:id="rId25"/>
    <sheet name="Лист19" sheetId="26" state="hidden" r:id="rId26"/>
    <sheet name="П1.21.3 приб." sheetId="27" state="hidden" r:id="rId27"/>
    <sheet name="П 1.24" sheetId="28" state="hidden" r:id="rId28"/>
    <sheet name="П1.25" sheetId="29" state="hidden" r:id="rId29"/>
    <sheet name="Лист25" sheetId="30" state="hidden" r:id="rId30"/>
    <sheet name="Лист29" sheetId="31" state="hidden" r:id="rId31"/>
    <sheet name="Sheet1" sheetId="32" state="hidden" r:id="rId32"/>
    <sheet name="Лист31" sheetId="33" state="hidden" r:id="rId33"/>
    <sheet name="П2.1" sheetId="34" state="hidden" r:id="rId34"/>
    <sheet name="П2.2." sheetId="35" state="hidden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 localSheetId="33">#REF!</definedName>
    <definedName name="\a" localSheetId="34">#REF!</definedName>
    <definedName name="\a">#REF!</definedName>
    <definedName name="\m" localSheetId="33">#REF!</definedName>
    <definedName name="\m" localSheetId="34">#REF!</definedName>
    <definedName name="\m">#REF!</definedName>
    <definedName name="\n" localSheetId="33">#REF!</definedName>
    <definedName name="\n" localSheetId="34">#REF!</definedName>
    <definedName name="\n">#REF!</definedName>
    <definedName name="\o" localSheetId="33">#REF!</definedName>
    <definedName name="\o" localSheetId="34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mpOt" localSheetId="33">'П2.1'!CompOt</definedName>
    <definedName name="CompOt" localSheetId="34">'П2.2.'!CompOt</definedName>
    <definedName name="CompOt">[0]!CompOt</definedName>
    <definedName name="CompRas" localSheetId="33">'П2.1'!CompRas</definedName>
    <definedName name="CompRas" localSheetId="34">'П2.2.'!CompRas</definedName>
    <definedName name="CompRas">[0]!CompRas</definedName>
    <definedName name="ew" localSheetId="33">'П2.1'!ew</definedName>
    <definedName name="ew" localSheetId="34">'П2.2.'!ew</definedName>
    <definedName name="ew">[0]!ew</definedName>
    <definedName name="fg" localSheetId="33">'П2.1'!fg</definedName>
    <definedName name="fg" localSheetId="34">'П2.2.'!fg</definedName>
    <definedName name="fg">[0]!fg</definedName>
    <definedName name="gh" localSheetId="33">'П2.1'!gh</definedName>
    <definedName name="gh" localSheetId="34">'П2.2.'!gh</definedName>
    <definedName name="gh">[0]!gh</definedName>
    <definedName name="god">'[12]Титульный'!$F$10</definedName>
    <definedName name="k" localSheetId="33">'П2.1'!k</definedName>
    <definedName name="k" localSheetId="34">'П2.2.'!k</definedName>
    <definedName name="k">[0]!k</definedName>
    <definedName name="org">'[12]Титульный'!$F$13</definedName>
    <definedName name="P1_T2.1?Protection" hidden="1">'[8]2007 (Min)'!$G$34:$N$35,'[8]2007 (Min)'!$Q$34:$W$35,'[8]2007 (Min)'!$Z$34:$AE$35,'[8]2007 (Min)'!$G$38:$N$38,'[8]2007 (Min)'!$Q$38:$W$38,'[8]2007 (Min)'!$Z$38:$AE$38</definedName>
    <definedName name="P1_T2.2?Protection">'[8]2007 (Max)'!$Q$8:$W$9,'[8]2007 (Max)'!$Z$8:$AE$9,'[8]2007 (Max)'!$G$11:$N$12,'[8]2007 (Max)'!$Q$11:$W$12,'[8]2007 (Max)'!$Z$11:$AE$12,'[8]2007 (Max)'!$G$14:$N$15,'[8]2007 (Max)'!$Q$14:$W$15,'[8]2007 (Max)'!$Z$14:$AE$15</definedName>
    <definedName name="P1_T2.2_DiapProt" hidden="1">'[8]2007 (Max)'!$G$44:$N$44,'[8]2007 (Max)'!$G$47:$N$47,'[8]2007 (Max)'!$Q$44:$W$44,'[8]2007 (Max)'!$Q$47:$W$47,'[8]2007 (Max)'!$Z$44:$AE$44,'[8]2007 (Max)'!$Z$47:$AE$47</definedName>
    <definedName name="P1_T2?Protection" hidden="1">'[7]2006 ФСТ'!$Z$47:$AE$47,'[7]2006 ФСТ'!$Q$8:$W$9,'[7]2006 ФСТ'!$Z$8:$AE$9,'[7]2006 ФСТ'!$G$11:$N$12,'[7]2006 ФСТ'!$Q$11:$W$12,'[7]2006 ФСТ'!$Z$11:$AE$12,'[7]2006 ФСТ'!$G$14:$N$15,'[7]2006 ФСТ'!$Q$14:$W$15</definedName>
    <definedName name="P1_T2_DiapProt" hidden="1">'[7]2006 ФСТ'!$Z$44:$AE$44,'[7]2006 ФСТ'!$Q$47:$W$47,'[7]2006 ФСТ'!$Z$47:$AE$47,'[7]2006 ФСТ'!$Q$8:$W$9,'[7]2006 ФСТ'!$Z$8:$AE$9,'[7]2006 ФСТ'!$G$11:$N$12,'[7]2006 ФСТ'!$Q$11:$W$12,'[7]2006 ФСТ'!$Z$11:$AE$12</definedName>
    <definedName name="P2_T2.1?Protection" hidden="1">'[8]2007 (Min)'!$G$40:$N$42,'[8]2007 (Min)'!$Q$40:$W$42,'[8]2007 (Min)'!$Z$40:$AE$42,'[8]2007 (Min)'!$G$47:$N$47,'[8]2007 (Min)'!$Q$47:$W$47,'[8]2007 (Min)'!$Z$47:$AE$47</definedName>
    <definedName name="P2_T2.2?Protection">'[8]2007 (Max)'!$G$17:$N$21,'[8]2007 (Max)'!$Q$17:$W$21,'[8]2007 (Max)'!$Z$17:$AE$21,'[8]2007 (Max)'!$G$25:$N$25,'[8]2007 (Max)'!$Q$25:$W$25,'[8]2007 (Max)'!$Z$25:$AE$25,'[8]2007 (Max)'!$G$27:$N$31,'[8]2007 (Max)'!$Q$27:$W$31</definedName>
    <definedName name="P2_T2?Protection" hidden="1">'[7]2006 ФСТ'!$Z$14:$AE$15,'[7]2006 ФСТ'!$G$17:$N$21,'[7]2006 ФСТ'!$Q$17:$W$21,'[7]2006 ФСТ'!$Z$17:$AE$21,'[7]2006 ФСТ'!$G$25:$N$25,'[7]2006 ФСТ'!$Q$25:$W$25,'[7]2006 ФСТ'!$Z$25:$AE$25</definedName>
    <definedName name="P2_T2_DiapProt" hidden="1">'[7]2006 ФСТ'!$G$14:$N$15,'[7]2006 ФСТ'!$Q$14:$W$15,'[7]2006 ФСТ'!$Z$14:$AE$15,'[7]2006 ФСТ'!$G$17:$N$21,'[7]2006 ФСТ'!$Q$17:$W$21,'[7]2006 ФСТ'!$Z$17:$AE$21,'[7]2006 ФСТ'!$G$25:$N$25</definedName>
    <definedName name="P3_T2.1?Protection" hidden="1">'[8]2007 (Min)'!$G$8:$N$9,'[8]2007 (Min)'!$Q$8:$W$9,'[8]2007 (Min)'!$Z$8:$AE$9,'[8]2007 (Min)'!$G$11:$N$12,'[8]2007 (Min)'!$Q$11:$W$12,'[8]2007 (Min)'!$Z$11:$AE$12</definedName>
    <definedName name="P3_T2.2?Protection">'[8]2007 (Max)'!$Z$27:$AE$31,'[8]2007 (Max)'!$G$34:$N$35,'[8]2007 (Max)'!$Q$34:$W$35,'[8]2007 (Max)'!$Z$34:$AE$35,'[8]2007 (Max)'!$G$38:$N$38,'[8]2007 (Max)'!$Q$38:$W$38,'[8]2007 (Max)'!$Z$38:$AE$38,'[8]2007 (Max)'!$G$40:$N$42</definedName>
    <definedName name="P3_T2?Protection" hidden="1">'[7]2006 ФСТ'!$G$27:$N$31,'[7]2006 ФСТ'!$Q$27:$W$31,'[7]2006 ФСТ'!$Z$27:$AE$31,'[7]2006 ФСТ'!$G$34:$N$35,'[7]2006 ФСТ'!$Q$34:$W$35,'[7]2006 ФСТ'!$Z$34:$AE$35,'[7]2006 ФСТ'!$G$38:$N$38</definedName>
    <definedName name="P3_T2_DiapProt" hidden="1">'[7]2006 ФСТ'!$Q$25:$W$25,'[7]2006 ФСТ'!$Z$25:$AE$25,'[7]2006 ФСТ'!$G$27:$N$31,'[7]2006 ФСТ'!$Q$27:$W$31,'[7]2006 ФСТ'!$Z$27:$AE$31,'[7]2006 ФСТ'!$G$34:$N$35,'[7]2006 ФСТ'!$Q$34:$W$35</definedName>
    <definedName name="P4_T2.1?Protection" hidden="1">'[8]2007 (Min)'!$G$14:$N$15,'[8]2007 (Min)'!$Q$14:$W$15,'[8]2007 (Min)'!$Z$14:$AE$15,'[8]2007 (Min)'!$G$17:$N$21,'[8]2007 (Min)'!$Q$17:$W$21,'[8]2007 (Min)'!$Z$17:$AE$21</definedName>
    <definedName name="P4_T2.2?Protection">'[8]2007 (Max)'!$Q$40:$W$42,'[8]2007 (Max)'!$Z$40:$AE$42,'[8]2007 (Max)'!$G$47:$N$47,'[8]2007 (Max)'!$Q$47:$W$47,'[8]2007 (Max)'!$Z$47:$AE$47,'[8]2007 (Max)'!$G$8:$N$9,P1_T2.2?Protection,P2_T2.2?Protection</definedName>
    <definedName name="P4_T2?Protection" hidden="1">'[7]2006 ФСТ'!$Q$38:$W$38,'[7]2006 ФСТ'!$Z$38:$AE$38,'[7]2006 ФСТ'!$G$40:$N$42,'[7]2006 ФСТ'!$Q$40:$W$42,'[7]2006 ФСТ'!$Z$40:$AE$42,'[7]2006 ФСТ'!$G$8:$N$9,'[7]2006 ФСТ'!$G$47:$N$47,'[7]2006 ФСТ'!$G$44:$N$44</definedName>
    <definedName name="P4_T2_DiapProt" hidden="1">'[7]2006 ФСТ'!$Z$34:$AE$35,'[7]2006 ФСТ'!$G$38:$N$38,'[7]2006 ФСТ'!$Q$38:$W$38,'[7]2006 ФСТ'!$Z$38:$AE$38,'[7]2006 ФСТ'!$G$40:$N$42,'[7]2006 ФСТ'!$Q$40:$W$42,'[7]2006 ФСТ'!$Z$40:$AE$42,'[7]2006 ФСТ'!$G$8:$N$9</definedName>
    <definedName name="P5_T2.1?Protection" hidden="1">'[8]2007 (Min)'!$G$25:$N$25,'[8]2007 (Min)'!$Q$25:$W$25,'[8]2007 (Min)'!$Z$25:$AE$25,'[8]2007 (Min)'!$G$27:$N$31,'[8]2007 (Min)'!$Q$27:$W$31,'[8]2007 (Min)'!$G$44:$N$44</definedName>
    <definedName name="P6_T2.1?Protection" hidden="1">'[8]2007 (Min)'!$Q$44:$W$44,'[8]2007 (Min)'!$Z$44:$AE$44,'[8]2007 (Min)'!$Z$27:$AE$31,P1_T2.1?Protection,P2_T2.1?Protection,P3_T2.1?Protection</definedName>
    <definedName name="region_name">'[12]Титульный'!$F$8</definedName>
    <definedName name="S1_" localSheetId="33">#REF!</definedName>
    <definedName name="S1_" localSheetId="34">#REF!</definedName>
    <definedName name="S1_">#REF!</definedName>
    <definedName name="S10_" localSheetId="33">#REF!</definedName>
    <definedName name="S10_" localSheetId="34">#REF!</definedName>
    <definedName name="S10_">#REF!</definedName>
    <definedName name="S11_" localSheetId="33">#REF!</definedName>
    <definedName name="S11_" localSheetId="34">#REF!</definedName>
    <definedName name="S11_">#REF!</definedName>
    <definedName name="S12_" localSheetId="33">#REF!</definedName>
    <definedName name="S12_" localSheetId="34">#REF!</definedName>
    <definedName name="S12_">#REF!</definedName>
    <definedName name="S13_" localSheetId="33">#REF!</definedName>
    <definedName name="S13_" localSheetId="34">#REF!</definedName>
    <definedName name="S13_">#REF!</definedName>
    <definedName name="S14_" localSheetId="33">#REF!</definedName>
    <definedName name="S14_" localSheetId="34">#REF!</definedName>
    <definedName name="S14_">#REF!</definedName>
    <definedName name="S15_" localSheetId="33">#REF!</definedName>
    <definedName name="S15_" localSheetId="34">#REF!</definedName>
    <definedName name="S15_">#REF!</definedName>
    <definedName name="S16_" localSheetId="33">#REF!</definedName>
    <definedName name="S16_" localSheetId="34">#REF!</definedName>
    <definedName name="S16_">#REF!</definedName>
    <definedName name="S17_" localSheetId="33">#REF!</definedName>
    <definedName name="S17_" localSheetId="34">#REF!</definedName>
    <definedName name="S17_">#REF!</definedName>
    <definedName name="S18_" localSheetId="33">#REF!</definedName>
    <definedName name="S18_" localSheetId="34">#REF!</definedName>
    <definedName name="S18_">#REF!</definedName>
    <definedName name="S19_" localSheetId="33">#REF!</definedName>
    <definedName name="S19_" localSheetId="34">#REF!</definedName>
    <definedName name="S19_">#REF!</definedName>
    <definedName name="S2_" localSheetId="33">#REF!</definedName>
    <definedName name="S2_" localSheetId="34">#REF!</definedName>
    <definedName name="S2_">#REF!</definedName>
    <definedName name="S20_" localSheetId="33">#REF!</definedName>
    <definedName name="S20_" localSheetId="34">#REF!</definedName>
    <definedName name="S20_">#REF!</definedName>
    <definedName name="S3_" localSheetId="33">#REF!</definedName>
    <definedName name="S3_" localSheetId="34">#REF!</definedName>
    <definedName name="S3_">#REF!</definedName>
    <definedName name="S4_" localSheetId="33">#REF!</definedName>
    <definedName name="S4_" localSheetId="34">#REF!</definedName>
    <definedName name="S4_">#REF!</definedName>
    <definedName name="S5_" localSheetId="33">#REF!</definedName>
    <definedName name="S5_" localSheetId="34">#REF!</definedName>
    <definedName name="S5_">#REF!</definedName>
    <definedName name="S6_" localSheetId="33">#REF!</definedName>
    <definedName name="S6_" localSheetId="34">#REF!</definedName>
    <definedName name="S6_">#REF!</definedName>
    <definedName name="S7_" localSheetId="33">#REF!</definedName>
    <definedName name="S7_" localSheetId="34">#REF!</definedName>
    <definedName name="S7_">#REF!</definedName>
    <definedName name="S8_" localSheetId="33">#REF!</definedName>
    <definedName name="S8_" localSheetId="34">#REF!</definedName>
    <definedName name="S8_">#REF!</definedName>
    <definedName name="S9_" localSheetId="33">#REF!</definedName>
    <definedName name="S9_" localSheetId="34">#REF!</definedName>
    <definedName name="S9_">#REF!</definedName>
    <definedName name="Sheet2?prefix?">"H"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2.1?Protection">P4_T2.1?Protection,P5_T2.1?Protection,P6_T2.1?Protection</definedName>
    <definedName name="T2.1_DiapProt">'[8]2007 (Min)'!$G$47:$N$47,'[8]2007 (Min)'!$Q$44:$W$44,'[8]2007 (Min)'!$Q$47:$W$47,'[8]2007 (Min)'!$Z$44:$AE$44,'[8]2007 (Min)'!$Z$47:$AE$47,'[8]2007 (Min)'!$G$44:$N$44</definedName>
    <definedName name="T2.2?Protection">P3_T2.2?Protection,P4_T2.2?Protection</definedName>
    <definedName name="T2.2_DiapProt">'[8]2007 (Max)'!$G$28,P1_T2.2_DiapProt</definedName>
    <definedName name="T2?Protection">'[7]2006 ФСТ'!$Q$44:$W$44,'[7]2006 ФСТ'!$Z$44:$AE$44,'[7]2006 ФСТ'!$Q$47:$W$47,P1_T2?Protection,P2_T2?Protection,P3_T2?Protection,P4_T2?Protection</definedName>
    <definedName name="T2_DiapProt">'[7]2006 ФСТ'!$G$47:$N$47,'[7]2006 ФСТ'!$G$44:$N$44,'[7]2006 ФСТ'!$Q$44:$W$44,P1_T2_DiapProt,P2_T2_DiapProt,P3_T2_DiapProt,P4_T2_DiapProt</definedName>
    <definedName name="VV" localSheetId="33">'П2.1'!VV</definedName>
    <definedName name="VV" localSheetId="34">'П2.2.'!VV</definedName>
    <definedName name="VV">[0]!VV</definedName>
    <definedName name="в23ё" localSheetId="33">'П2.1'!в23ё</definedName>
    <definedName name="в23ё" localSheetId="34">'П2.2.'!в23ё</definedName>
    <definedName name="в23ё">[0]!в23ё</definedName>
    <definedName name="вв" localSheetId="33">'П2.1'!вв</definedName>
    <definedName name="вв" localSheetId="34">'П2.2.'!вв</definedName>
    <definedName name="вв">[0]!вв</definedName>
    <definedName name="восемь" localSheetId="33">#REF!</definedName>
    <definedName name="восемь" localSheetId="34">#REF!</definedName>
    <definedName name="восемь">#REF!</definedName>
    <definedName name="второй">#REF!</definedName>
    <definedName name="дд" localSheetId="33">'П2.1'!дд</definedName>
    <definedName name="дд" localSheetId="34">'П2.2.'!дд</definedName>
    <definedName name="дд">[0]!дд</definedName>
    <definedName name="ж" localSheetId="33">'П2.1'!ж</definedName>
    <definedName name="ж" localSheetId="34">'П2.2.'!ж</definedName>
    <definedName name="ж">[0]!ж</definedName>
    <definedName name="жд" localSheetId="33">'П2.1'!жд</definedName>
    <definedName name="жд" localSheetId="34">'П2.2.'!жд</definedName>
    <definedName name="жд">[0]!жд</definedName>
    <definedName name="Извлечение_ИМ">#REF!</definedName>
    <definedName name="й" localSheetId="33">'П2.1'!й</definedName>
    <definedName name="й" localSheetId="34">'П2.2.'!й</definedName>
    <definedName name="й">[0]!й</definedName>
    <definedName name="йй" localSheetId="33">'П2.1'!йй</definedName>
    <definedName name="йй" localSheetId="34">'П2.2.'!йй</definedName>
    <definedName name="йй">[0]!йй</definedName>
    <definedName name="ке" localSheetId="33">'П2.1'!ке</definedName>
    <definedName name="ке" localSheetId="34">'П2.2.'!ке</definedName>
    <definedName name="ке">[0]!ке</definedName>
    <definedName name="критерий" localSheetId="33">#REF!</definedName>
    <definedName name="критерий" localSheetId="34">#REF!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 localSheetId="33">'П2.1'!мым</definedName>
    <definedName name="мым" localSheetId="34">'П2.2.'!мым</definedName>
    <definedName name="мым">[0]!мым</definedName>
    <definedName name="_xlnm.Print_Area" localSheetId="3">'Лист3'!$A$46:$R$103</definedName>
    <definedName name="_xlnm.Print_Area" localSheetId="10">'НВВ 1'!$D$2:$H$90</definedName>
    <definedName name="_xlnm.Print_Area" localSheetId="11">'НВВ 2'!$A$1:$M$108</definedName>
    <definedName name="_xlnm.Print_Area" localSheetId="27">'П 1.24'!$A$4:$L$40</definedName>
    <definedName name="_xlnm.Print_Area" localSheetId="9">'П1.15'!$B$5:$I$54</definedName>
    <definedName name="_xlnm.Print_Area" localSheetId="18">'П1.16'!$A$2:$G$46</definedName>
    <definedName name="_xlnm.Print_Area" localSheetId="26">'П1.21.3 приб.'!$A$2:$I$49</definedName>
    <definedName name="олс" localSheetId="33">'П2.1'!олс</definedName>
    <definedName name="олс" localSheetId="34">'П2.2.'!олс</definedName>
    <definedName name="олс">[0]!олс</definedName>
    <definedName name="первый">#REF!</definedName>
    <definedName name="ПОКАЗАТЕЛИ_ДОЛГОСР.ПРОГНОЗА">'[10]2002'!#REF!</definedName>
    <definedName name="р" localSheetId="33">'П2.1'!р</definedName>
    <definedName name="р" localSheetId="34">'П2.2.'!р</definedName>
    <definedName name="р">[0]!р</definedName>
    <definedName name="с" localSheetId="33">'П2.1'!с</definedName>
    <definedName name="с" localSheetId="34">'П2.2.'!с</definedName>
    <definedName name="с">[0]!с</definedName>
    <definedName name="семь" localSheetId="33">#REF!</definedName>
    <definedName name="семь" localSheetId="34">#REF!</definedName>
    <definedName name="семь">#REF!</definedName>
    <definedName name="сс" localSheetId="33">'П2.1'!сс</definedName>
    <definedName name="сс" localSheetId="34">'П2.2.'!сс</definedName>
    <definedName name="сс">[0]!сс</definedName>
    <definedName name="сссс" localSheetId="33">'П2.1'!сссс</definedName>
    <definedName name="сссс" localSheetId="34">'П2.2.'!сссс</definedName>
    <definedName name="сссс">[0]!сссс</definedName>
    <definedName name="ссы" localSheetId="33">'П2.1'!ссы</definedName>
    <definedName name="ссы" localSheetId="34">'П2.2.'!ссы</definedName>
    <definedName name="ссы">[0]!ссы</definedName>
    <definedName name="третий">#REF!</definedName>
    <definedName name="у" localSheetId="33">'П2.1'!у</definedName>
    <definedName name="у" localSheetId="34">'П2.2.'!у</definedName>
    <definedName name="у">[0]!у</definedName>
    <definedName name="фо">'[5]Лист1'!#REF!</definedName>
    <definedName name="фо1">'[9]Лист1'!#REF!</definedName>
    <definedName name="ц" localSheetId="33">'П2.1'!ц</definedName>
    <definedName name="ц" localSheetId="34">'П2.2.'!ц</definedName>
    <definedName name="ц">[0]!ц</definedName>
    <definedName name="цу" localSheetId="33">'П2.1'!цу</definedName>
    <definedName name="цу" localSheetId="34">'П2.2.'!цу</definedName>
    <definedName name="цу">[0]!цу</definedName>
    <definedName name="четвертый">#REF!</definedName>
    <definedName name="ыв" localSheetId="33">'П2.1'!ыв</definedName>
    <definedName name="ыв" localSheetId="34">'П2.2.'!ыв</definedName>
    <definedName name="ыв">[0]!ыв</definedName>
    <definedName name="ыыыы" localSheetId="33">'П2.1'!ыыыы</definedName>
    <definedName name="ыыыы" localSheetId="34">'П2.2.'!ыыыы</definedName>
    <definedName name="ыыыы">[0]!ыыыы</definedName>
  </definedNames>
  <calcPr fullCalcOnLoad="1"/>
</workbook>
</file>

<file path=xl/comments10.xml><?xml version="1.0" encoding="utf-8"?>
<comments xmlns="http://schemas.openxmlformats.org/spreadsheetml/2006/main">
  <authors>
    <author>Монахова</author>
  </authors>
  <commentList>
    <comment ref="D17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16793тыс.кВт.ч.=собственн потр ВОСХОД ,  0,01%=доля на хоз нужды, 3,7491руб/кВтч=тариф э/э на НН на 2008 год</t>
        </r>
      </text>
    </comment>
    <comment ref="D20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ЕСН 0,6 %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нет обоснований</t>
        </r>
      </text>
    </comment>
    <comment ref="D28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нет учетной политики, нет фактич расх на ремонты, </t>
        </r>
      </text>
    </comment>
    <comment ref="D34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 дог аренды 1,06=доля, рассчитанная предприятием 1827тысруб=плата за 331день</t>
        </r>
      </text>
    </comment>
    <comment ref="H39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в мониторинге ошибочнона листе сети с/с=1007,58</t>
        </r>
      </text>
    </comment>
    <comment ref="M8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фактич расх матер за 2009 год</t>
        </r>
      </text>
    </comment>
    <comment ref="I20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ЕСН 0,6 %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отправка 46 формы 400*12
прайс лист=6,0т.р.
</t>
        </r>
      </text>
    </comment>
    <comment ref="I28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нет учетной политики, нет фактич расх на ремонты, </t>
        </r>
      </text>
    </comment>
    <comment ref="G37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ТСО включаетв эту сумму налог на имущество</t>
        </r>
      </text>
    </comment>
    <comment ref="I37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программе эн.сбереж на обследование оборуд. Расходы на оприборивание и компенсации реакт.ээ
 не учитываем</t>
        </r>
      </text>
    </comment>
    <comment ref="I18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на 2012=814,507 *к-т индексации
</t>
        </r>
      </text>
    </comment>
  </commentList>
</comments>
</file>

<file path=xl/comments11.xml><?xml version="1.0" encoding="utf-8"?>
<comments xmlns="http://schemas.openxmlformats.org/spreadsheetml/2006/main">
  <authors>
    <author>Монахова</author>
  </authors>
  <commentList>
    <comment ref="F105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см. рекомендации</t>
        </r>
      </text>
    </comment>
    <comment ref="H50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предлож СО</t>
        </r>
      </text>
    </comment>
    <comment ref="H72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+добавка до роста НВВ 105%</t>
        </r>
      </text>
    </comment>
    <comment ref="H75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с учетом роста НВВ 105%</t>
        </r>
      </text>
    </comment>
  </commentList>
</comments>
</file>

<file path=xl/comments12.xml><?xml version="1.0" encoding="utf-8"?>
<comments xmlns="http://schemas.openxmlformats.org/spreadsheetml/2006/main">
  <authors>
    <author>Монахова</author>
    <author>Монахова Татьяна Дмитриевна</author>
  </authors>
  <commentList>
    <comment ref="G72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аренда земли</t>
        </r>
      </text>
    </comment>
    <comment ref="G76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 дог ООО"ДИОС" без НДС и в доле 5,9%=эл.эн в с/с продукции и остаток (см 2013)</t>
        </r>
      </text>
    </comment>
    <comment ref="G87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 счету на приобретение счетчиков +прогр энергосбереж.</t>
        </r>
      </text>
    </comment>
    <comment ref="I51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ЕИАС ключ</t>
        </r>
      </text>
    </comment>
    <comment ref="I58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П-4 декабрь 2013</t>
        </r>
      </text>
    </comment>
  </commentList>
</comments>
</file>

<file path=xl/comments17.xml><?xml version="1.0" encoding="utf-8"?>
<comments xmlns="http://schemas.openxmlformats.org/spreadsheetml/2006/main">
  <authors>
    <author>Монахова Татьяна Дмитриевна</author>
  </authors>
  <commentList>
    <comment ref="F10" authorId="0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расчетный норматив потерь</t>
        </r>
      </text>
    </comment>
  </commentList>
</comments>
</file>

<file path=xl/comments18.xml><?xml version="1.0" encoding="utf-8"?>
<comments xmlns="http://schemas.openxmlformats.org/spreadsheetml/2006/main">
  <authors>
    <author>Монахова Татьяна Дмитриевна</author>
  </authors>
  <commentList>
    <comment ref="D3" authorId="0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по постановлению</t>
        </r>
      </text>
    </comment>
    <comment ref="E3" authorId="0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по информации на сайте</t>
        </r>
      </text>
    </comment>
  </commentList>
</comments>
</file>

<file path=xl/comments19.xml><?xml version="1.0" encoding="utf-8"?>
<comments xmlns="http://schemas.openxmlformats.org/spreadsheetml/2006/main">
  <authors>
    <author>Монахова</author>
    <author>Монахова Татьяна Дмитриевна</author>
  </authors>
  <commentList>
    <comment ref="K7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ИТР по нормативу</t>
        </r>
      </text>
    </comment>
    <comment ref="J7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АУП по нормативу</t>
        </r>
      </text>
    </comment>
    <comment ref="D66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положению об оплате труда на 2007 г.</t>
        </r>
      </text>
    </comment>
    <comment ref="E7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нормативу 2,84 чел</t>
        </r>
      </text>
    </comment>
    <comment ref="E30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экспертная оценка : среднемесячная оплата труда прочих предприятий на 2008 г.</t>
        </r>
      </text>
    </comment>
    <comment ref="G10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ставка с 01.01.2014 =6000 до конца года дефлятор =1,03 на 2015 год дефл =1,051</t>
        </r>
      </text>
    </comment>
    <comment ref="G7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5,127
</t>
        </r>
      </text>
    </comment>
    <comment ref="G30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факт
 2013= 20980</t>
        </r>
      </text>
    </comment>
  </commentList>
</comments>
</file>

<file path=xl/comments21.xml><?xml version="1.0" encoding="utf-8"?>
<comments xmlns="http://schemas.openxmlformats.org/spreadsheetml/2006/main">
  <authors>
    <author>Монахова</author>
  </authors>
  <commentList>
    <comment ref="D4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расчету предприятия</t>
        </r>
      </text>
    </comment>
    <comment ref="E4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расчету предприятия</t>
        </r>
      </text>
    </comment>
  </commentList>
</comments>
</file>

<file path=xl/comments23.xml><?xml version="1.0" encoding="utf-8"?>
<comments xmlns="http://schemas.openxmlformats.org/spreadsheetml/2006/main">
  <authors>
    <author>Lachova</author>
  </authors>
  <commentList>
    <comment ref="D4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таблица не представлялась</t>
        </r>
      </text>
    </comment>
  </commentList>
</comments>
</file>

<file path=xl/comments27.xml><?xml version="1.0" encoding="utf-8"?>
<comments xmlns="http://schemas.openxmlformats.org/spreadsheetml/2006/main">
  <authors>
    <author>Lachova</author>
    <author>Монахова</author>
  </authors>
  <commentList>
    <comment ref="C33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сумма</t>
        </r>
        <r>
          <rPr>
            <sz val="8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налога на имущество, отраженное в таблицах 2.1 и2.2 и налога на имущество, расчитанного от прочей базы</t>
        </r>
      </text>
    </comment>
    <comment ref="C34" authorId="0">
      <text>
        <r>
          <rPr>
            <b/>
            <sz val="8"/>
            <rFont val="Tahoma"/>
            <family val="2"/>
          </rPr>
          <t>Lachova:
налог на имущество, отраженное  в таблицах 2.1 и2.2 уровня ВН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Lachova:
налог на имущество, отраженное  в таблицах 2.1 и2.2 уровня СН1
</t>
        </r>
      </text>
    </comment>
    <comment ref="C36" authorId="0">
      <text>
        <r>
          <rPr>
            <b/>
            <sz val="8"/>
            <rFont val="Tahoma"/>
            <family val="2"/>
          </rPr>
          <t xml:space="preserve">Lachova:
налог на имущество, отраженное  в таблицах 2.1 и2.2 уровня СН11
</t>
        </r>
      </text>
    </comment>
    <comment ref="C37" authorId="0">
      <text>
        <r>
          <rPr>
            <b/>
            <sz val="8"/>
            <rFont val="Tahoma"/>
            <family val="2"/>
          </rPr>
          <t xml:space="preserve">Lachova:
налог на имущество, отраженное  в таблицах 2.1 и2.2 уровня НН
</t>
        </r>
      </text>
    </comment>
    <comment ref="D33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234 т.р остаточная ст-ть </t>
        </r>
      </text>
    </comment>
    <comment ref="F20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объем ПО Восход 2008г.*тариф 2008г. + расходы на компенсацию потерь</t>
        </r>
      </text>
    </comment>
    <comment ref="F21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объем ПО Восход 2008г.*тариф 2008г. + расходы на компенсацию потерь</t>
        </r>
      </text>
    </comment>
    <comment ref="I33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234 т.р остаточная ст-ть </t>
        </r>
      </text>
    </comment>
  </commentList>
</comments>
</file>

<file path=xl/comments28.xml><?xml version="1.0" encoding="utf-8"?>
<comments xmlns="http://schemas.openxmlformats.org/spreadsheetml/2006/main">
  <authors>
    <author>Монахова</author>
  </authors>
  <commentList>
    <comment ref="K63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расходы на 1 у.е.</t>
        </r>
      </text>
    </comment>
  </commentList>
</comments>
</file>

<file path=xl/comments34.xml><?xml version="1.0" encoding="utf-8"?>
<comments xmlns="http://schemas.openxmlformats.org/spreadsheetml/2006/main">
  <authors>
    <author>Монахова</author>
  </authors>
  <commentList>
    <comment ref="K42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схеме</t>
        </r>
      </text>
    </comment>
  </commentList>
</comments>
</file>

<file path=xl/comments35.xml><?xml version="1.0" encoding="utf-8"?>
<comments xmlns="http://schemas.openxmlformats.org/spreadsheetml/2006/main">
  <authors>
    <author>Монахова</author>
    <author>Монахова Татьяна Дмитриевна</author>
  </authors>
  <commentList>
    <comment ref="H42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28 потребителей, 40 точек присоединения потребителей</t>
        </r>
      </text>
    </comment>
    <comment ref="H48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>6
ТП-6</t>
        </r>
      </text>
    </comment>
    <comment ref="H49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ТП-1,ТП-2,ТП-3, ТП-5, ТП-7, ТП-11, ТП-12
</t>
        </r>
      </text>
    </comment>
    <comment ref="M49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актам баланс. Разграничния:
ТП-2, ТП-3, ктп-7, КТП-11</t>
        </r>
      </text>
    </comment>
    <comment ref="O49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по актам баланс. Разграничния:
ТП-2, ТП-3, ктп-7, КТП-11</t>
        </r>
      </text>
    </comment>
    <comment ref="K48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тп-1</t>
        </r>
      </text>
    </comment>
    <comment ref="K49" authorId="0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ТП-2,ТП-3,ТП-5,ТП-6. КТП-7,ТП-11</t>
        </r>
      </text>
    </comment>
    <comment ref="H31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АВМ в ТП-2 =4 шт</t>
        </r>
      </text>
    </comment>
    <comment ref="H36" authorId="1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ВМГ и КСО</t>
        </r>
      </text>
    </comment>
  </commentList>
</comments>
</file>

<file path=xl/comments4.xml><?xml version="1.0" encoding="utf-8"?>
<comments xmlns="http://schemas.openxmlformats.org/spreadsheetml/2006/main">
  <authors>
    <author>Lachova</author>
    <author>Монахова</author>
    <author>Монахова Татьяна Дмитриевна</author>
  </authors>
  <commentList>
    <comment ref="C42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заполняются в соответствии с табл.1.3. либо согласно утвержденных минпромэнерго РФ нормативов потерь</t>
        </r>
      </text>
    </comment>
    <comment ref="Q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P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O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J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K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L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N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O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P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Q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R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I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J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K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L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M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E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F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G51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подбирается методом интерактива
</t>
        </r>
      </text>
    </comment>
    <comment ref="G45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D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E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F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G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H79" authorId="0">
      <text>
        <r>
          <rPr>
            <b/>
            <sz val="8"/>
            <rFont val="Tahoma"/>
            <family val="2"/>
          </rPr>
          <t>Lachova:</t>
        </r>
        <r>
          <rPr>
            <sz val="8"/>
            <rFont val="Tahoma"/>
            <family val="2"/>
          </rPr>
          <t xml:space="preserve">
проверка</t>
        </r>
      </text>
    </comment>
    <comment ref="G137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Автокооператив</t>
        </r>
      </text>
    </comment>
    <comment ref="Q10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мощность ТП передачи: ТП-2 2*1000, ТП-3 2*1000, КТП-7 2*1000, КТП-11 2*630
</t>
        </r>
      </text>
    </comment>
    <comment ref="N120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 договору эл снабж на 2008г.
</t>
        </r>
      </text>
    </comment>
    <comment ref="D59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1,46 утв фст</t>
        </r>
      </text>
    </comment>
    <comment ref="S66" authorId="1">
      <text>
        <r>
          <rPr>
            <b/>
            <sz val="8"/>
            <rFont val="Tahoma"/>
            <family val="2"/>
          </rPr>
          <t>Монахова: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просчитала по приложениям на 2011г</t>
        </r>
      </text>
    </comment>
    <comment ref="Y172" authorId="2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учесть каб от РП2 до РП3</t>
        </r>
      </text>
    </comment>
    <comment ref="L62" authorId="2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по МУ МЭ</t>
        </r>
      </text>
    </comment>
    <comment ref="M62" authorId="2">
      <text>
        <r>
          <rPr>
            <b/>
            <sz val="8"/>
            <rFont val="Tahoma"/>
            <family val="2"/>
          </rPr>
          <t>Монахова Татьяна Дмитриевна:</t>
        </r>
        <r>
          <rPr>
            <sz val="8"/>
            <rFont val="Tahoma"/>
            <family val="2"/>
          </rPr>
          <t xml:space="preserve">
по МУ МЭ</t>
        </r>
      </text>
    </comment>
  </commentList>
</comments>
</file>

<file path=xl/sharedStrings.xml><?xml version="1.0" encoding="utf-8"?>
<sst xmlns="http://schemas.openxmlformats.org/spreadsheetml/2006/main" count="5628" uniqueCount="2646">
  <si>
    <t>Долгосрочные параметры регулирования</t>
  </si>
  <si>
    <t>№ п/п</t>
  </si>
  <si>
    <t>Параметры</t>
  </si>
  <si>
    <t>Ед.изм.</t>
  </si>
  <si>
    <t>Базовый уровень подконтрольных расходов</t>
  </si>
  <si>
    <t>х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</si>
  <si>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</si>
  <si>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</si>
  <si>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НВВ, осуществляемая с учетом достижения установленного уровня надежности и качества услуг</t>
  </si>
  <si>
    <t>увеличения НВВ</t>
  </si>
  <si>
    <t xml:space="preserve">Обсудить! </t>
  </si>
  <si>
    <t>снижения НВВ</t>
  </si>
  <si>
    <t>Планируемые значения параметров расчета тарифа</t>
  </si>
  <si>
    <t>Индекс потребительских цен</t>
  </si>
  <si>
    <t>Количество активов</t>
  </si>
  <si>
    <t>у.е.</t>
  </si>
  <si>
    <t xml:space="preserve">Наиболее вероятно </t>
  </si>
  <si>
    <t>Величина неподконтрольных расходов</t>
  </si>
  <si>
    <t>Плановый отпуск в сеть</t>
  </si>
  <si>
    <t>млн. кВт.ч.</t>
  </si>
  <si>
    <t>Величина технологического расхода (потерь) электрической энергии</t>
  </si>
  <si>
    <t>Величина заявленной мощности потребителей</t>
  </si>
  <si>
    <t>Величина полезного отпуска электрической энергии потребителям услуг</t>
  </si>
  <si>
    <t>тыс. кВт.ч.</t>
  </si>
  <si>
    <t>Цена покупки потерь электрической энергии</t>
  </si>
  <si>
    <t>руб./МВт.ч.</t>
  </si>
  <si>
    <t>Расчет коэффициента индексации</t>
  </si>
  <si>
    <t>количество активов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</si>
  <si>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</si>
  <si>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</si>
  <si>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</si>
  <si>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 xml:space="preserve">Коэф. Инд.= (1+ИПЦ)*(1-инд.эффективности подконтрольных расходов)*(1+инд. Изменения кол-ва активов*коэф. эластичности) </t>
  </si>
  <si>
    <t>Расчет подконтрольных расходов</t>
  </si>
  <si>
    <t>№ п.п.</t>
  </si>
  <si>
    <t>Показатели</t>
  </si>
  <si>
    <t>Материальные затраты</t>
  </si>
  <si>
    <t>Сырье, материалы, запасные части, инструмент, топливо</t>
  </si>
  <si>
    <t xml:space="preserve">Ремонт основных фондов </t>
  </si>
  <si>
    <t>Расходы на оплату труда</t>
  </si>
  <si>
    <t xml:space="preserve">Прочие расходы, всего, в том числе </t>
  </si>
  <si>
    <t>1.3.1.</t>
  </si>
  <si>
    <t xml:space="preserve"> услуги производственного характера </t>
  </si>
  <si>
    <t>1.3.2.</t>
  </si>
  <si>
    <t xml:space="preserve"> услуги непроизводственного характера </t>
  </si>
  <si>
    <t>1.3.3.</t>
  </si>
  <si>
    <t xml:space="preserve"> расходы на страхование (медицинское, имущества ?)</t>
  </si>
  <si>
    <t xml:space="preserve">1.3.4. </t>
  </si>
  <si>
    <t xml:space="preserve"> расходы на обучение , подготовку кадров, командировки  </t>
  </si>
  <si>
    <t>1.3.5.</t>
  </si>
  <si>
    <t xml:space="preserve">расходы на оплату услуг банков и обслуживание заемных средств </t>
  </si>
  <si>
    <t xml:space="preserve">1.3.6. </t>
  </si>
  <si>
    <t xml:space="preserve">другие расходы, связанные с передачей электрической энергии  </t>
  </si>
  <si>
    <t xml:space="preserve">1.3.7. </t>
  </si>
  <si>
    <t xml:space="preserve"> расходы социального характера </t>
  </si>
  <si>
    <t>1.3.8.</t>
  </si>
  <si>
    <t xml:space="preserve">другие расходы ,осуществляемые из прибыли </t>
  </si>
  <si>
    <t>ИТОГО подконтрольные расходы</t>
  </si>
  <si>
    <t>Расчет неподконтрольных расходов</t>
  </si>
  <si>
    <t xml:space="preserve">Прибыль на развитие производства </t>
  </si>
  <si>
    <t xml:space="preserve">Амортизация основных средств </t>
  </si>
  <si>
    <t>2.3</t>
  </si>
  <si>
    <t>Энергия нахояйственные нужды</t>
  </si>
  <si>
    <t>Отчисления на социальные нужды (ЕСН)</t>
  </si>
  <si>
    <t>Прочие расходы, всего, в том числе:</t>
  </si>
  <si>
    <t>2.5.1</t>
  </si>
  <si>
    <t xml:space="preserve">плата за аренду имущества и лизинг </t>
  </si>
  <si>
    <t>2.5.2</t>
  </si>
  <si>
    <t>страховые взносы  (страхование транспорта и ответственности)</t>
  </si>
  <si>
    <t>2.5.3</t>
  </si>
  <si>
    <t>2.5.4</t>
  </si>
  <si>
    <t xml:space="preserve">плата за предельно допустимые выбросы </t>
  </si>
  <si>
    <t>2.5.5</t>
  </si>
  <si>
    <t xml:space="preserve">  энергоаудит </t>
  </si>
  <si>
    <t>2.5.6.</t>
  </si>
  <si>
    <t xml:space="preserve">сертфикация продукции </t>
  </si>
  <si>
    <t>2.5.7.</t>
  </si>
  <si>
    <t>2.5.8.</t>
  </si>
  <si>
    <t xml:space="preserve">другие прочие затраты услуги </t>
  </si>
  <si>
    <t>2.5.9.</t>
  </si>
  <si>
    <t>Налоги,всего, в том числе:</t>
  </si>
  <si>
    <t>2.5.9.1.</t>
  </si>
  <si>
    <t xml:space="preserve"> -плата за землю</t>
  </si>
  <si>
    <t>2.5.9.2.</t>
  </si>
  <si>
    <t xml:space="preserve"> -налог на пользрвателей автодорог</t>
  </si>
  <si>
    <t>2.5.9.3.</t>
  </si>
  <si>
    <t xml:space="preserve"> -Налог на имущество</t>
  </si>
  <si>
    <t>2.5.9.4</t>
  </si>
  <si>
    <t xml:space="preserve"> -Налог на прибыль</t>
  </si>
  <si>
    <t>2.5.10</t>
  </si>
  <si>
    <t xml:space="preserve">Целевая программа по энергосбережению </t>
  </si>
  <si>
    <t>2.5.11.</t>
  </si>
  <si>
    <t>Выпадающие доходы, связанные с технологическим присоединением льготных категорий потребителей</t>
  </si>
  <si>
    <t>ИТОГО неподконтрольных расходов</t>
  </si>
  <si>
    <t>ИТОГО НВВ</t>
  </si>
  <si>
    <t>Необходимая валовая выручка на передачу электроэнергии</t>
  </si>
  <si>
    <t>Необходимая валовая выручка на содержание сетей, всего, в том числе:</t>
  </si>
  <si>
    <t>Подконтрольные расходы (ПР)</t>
  </si>
  <si>
    <t>Неподконтрольные расходы (НР)</t>
  </si>
  <si>
    <t>Результаты деятельности ТСО до перехода к ДПР (В)</t>
  </si>
  <si>
    <t>Корректировка необходимой валовой выручки</t>
  </si>
  <si>
    <t>Необходимая валовая выручка на оплату технологического расхода (потерь) электроэнергии</t>
  </si>
  <si>
    <t>Объем потерь электрической энергии</t>
  </si>
  <si>
    <t>Индекс роста цен на электроэнергию</t>
  </si>
  <si>
    <t>Прогнозная цена покупки потерь электроэнергии</t>
  </si>
  <si>
    <t>ИТОГО необходимая валовая выручка на передачу электроэнергии</t>
  </si>
  <si>
    <t xml:space="preserve">   - заданные параметры</t>
  </si>
  <si>
    <t xml:space="preserve">  - надо проверить и проставить </t>
  </si>
  <si>
    <t xml:space="preserve">  - заполняется экспертом можно (сделать ссылку)</t>
  </si>
  <si>
    <t xml:space="preserve">   - формулы и ссылки </t>
  </si>
  <si>
    <t xml:space="preserve">   - не заполнять </t>
  </si>
  <si>
    <t xml:space="preserve">В строке объем потерь для копенсации </t>
  </si>
  <si>
    <t xml:space="preserve">Данные по расчету ПН и К представлены </t>
  </si>
  <si>
    <t xml:space="preserve">ПН </t>
  </si>
  <si>
    <t xml:space="preserve">ПК </t>
  </si>
  <si>
    <t>Общий показатель</t>
  </si>
  <si>
    <t>Потери   на   корону    в линиях напряжением ___ кВ (а х б)</t>
  </si>
  <si>
    <t>дельта НВВсн2-сн1</t>
  </si>
  <si>
    <t>млн. кВт.ч в год/км</t>
  </si>
  <si>
    <t>Нагрузочные потери в сети ВН, СН1, СН11 (а х б х в)</t>
  </si>
  <si>
    <t>Отпуск в сеть ВН, СН1   и СН11</t>
  </si>
  <si>
    <t>Нагрузочные потери в сети НН (а х б)</t>
  </si>
  <si>
    <t>тыс. кВт.ч в год/км</t>
  </si>
  <si>
    <t>Протяженность линий   0,4 кВ</t>
  </si>
  <si>
    <t>Расход электроэнергии  на собственные нужды подстанций</t>
  </si>
  <si>
    <t xml:space="preserve">1. </t>
  </si>
  <si>
    <t>1.1.</t>
  </si>
  <si>
    <t xml:space="preserve">ВН                      </t>
  </si>
  <si>
    <t xml:space="preserve">СН1                     </t>
  </si>
  <si>
    <t>1.2.</t>
  </si>
  <si>
    <t>1.3.</t>
  </si>
  <si>
    <t>1.4.</t>
  </si>
  <si>
    <t xml:space="preserve">от других организаций   </t>
  </si>
  <si>
    <t>то же в % (п. 1.1/п. 1.3)</t>
  </si>
  <si>
    <t>4.1.</t>
  </si>
  <si>
    <t>4.2.</t>
  </si>
  <si>
    <t>4.3.</t>
  </si>
  <si>
    <t xml:space="preserve"> сумма </t>
  </si>
  <si>
    <t>Поступление эл. энергии в сеть, ВСЕГО</t>
  </si>
  <si>
    <t>из смежной сети, всего  в том числе из сети:</t>
  </si>
  <si>
    <t xml:space="preserve">от   электростанций    ПЭ (ЭСО) </t>
  </si>
  <si>
    <t>от других поставщиков  (в т.ч. с оптового рынка)</t>
  </si>
  <si>
    <t>Потери электроэнергии   в сети</t>
  </si>
  <si>
    <t>Расход электроэнергии  на производственные и хозяйственные нужды</t>
  </si>
  <si>
    <t>Полезный отпуск из сети в т.ч.</t>
  </si>
  <si>
    <t xml:space="preserve">потребителям,  присоединенным  к  центру питания         </t>
  </si>
  <si>
    <t>собственным  потребителям ЭСО         из них:</t>
  </si>
  <si>
    <t>на генераторном напряжении</t>
  </si>
  <si>
    <t xml:space="preserve">поступление эл.энергии от других организаций (с-п-ток)  </t>
  </si>
  <si>
    <t>Поступление   мощности  в сеть ВСЕГО (Nотп)</t>
  </si>
  <si>
    <t xml:space="preserve">из смежной сети    (Nсн1/вн, Nсн2/вн, Nсн2/сн1, Nнн/сн2)     </t>
  </si>
  <si>
    <r>
      <t xml:space="preserve">от электростанций ПЭ   </t>
    </r>
    <r>
      <rPr>
        <sz val="12"/>
        <rFont val="Arial"/>
        <family val="2"/>
      </rPr>
      <t xml:space="preserve"> (Nпост)</t>
    </r>
  </si>
  <si>
    <t>потребителям     оптового рынка</t>
  </si>
  <si>
    <t>сальдо переток в   другие организации</t>
  </si>
  <si>
    <t xml:space="preserve">Потери в сети            </t>
  </si>
  <si>
    <t xml:space="preserve">то же в %               </t>
  </si>
  <si>
    <t xml:space="preserve">в другие организации    </t>
  </si>
  <si>
    <t>Таблица N П1.5</t>
  </si>
  <si>
    <t>МВт</t>
  </si>
  <si>
    <t xml:space="preserve">от других поставщиков  (в т.ч. с оптового рынка)  </t>
  </si>
  <si>
    <t>Мощность  на производственные и хозяйственные нужды</t>
  </si>
  <si>
    <t>4.1</t>
  </si>
  <si>
    <t>Заявленная    (расчетная) мощность потребителей, пользующихся региональными электрическими сетями</t>
  </si>
  <si>
    <t>Заявленная    (расчетная) мощность потребителей оптового рынка</t>
  </si>
  <si>
    <t xml:space="preserve">N </t>
  </si>
  <si>
    <t>Группа потребителей</t>
  </si>
  <si>
    <t xml:space="preserve">НН </t>
  </si>
  <si>
    <t xml:space="preserve">ВН </t>
  </si>
  <si>
    <t xml:space="preserve">СН1 </t>
  </si>
  <si>
    <t xml:space="preserve">НН  </t>
  </si>
  <si>
    <t>Базовые потребители</t>
  </si>
  <si>
    <t xml:space="preserve">Потребитель 1      </t>
  </si>
  <si>
    <t xml:space="preserve">Потребитель 2      </t>
  </si>
  <si>
    <t xml:space="preserve">Расчет среднегодовой стоимости основных производственных фондов по линиям электропередач и подстанциям </t>
  </si>
  <si>
    <t xml:space="preserve">...                 </t>
  </si>
  <si>
    <t xml:space="preserve">2. </t>
  </si>
  <si>
    <t xml:space="preserve">Население          </t>
  </si>
  <si>
    <t xml:space="preserve">3. </t>
  </si>
  <si>
    <t>3.1.</t>
  </si>
  <si>
    <t xml:space="preserve">4. </t>
  </si>
  <si>
    <t xml:space="preserve">Итого              </t>
  </si>
  <si>
    <t xml:space="preserve">...                </t>
  </si>
  <si>
    <t>Объем полезного отпуска  электроэнергии, млн. кВт.ч</t>
  </si>
  <si>
    <t>Заявленная (расчетная)   мощность, тыс. кВт</t>
  </si>
  <si>
    <t xml:space="preserve"> час </t>
  </si>
  <si>
    <t>Число часов использования,</t>
  </si>
  <si>
    <t>Доля потребления на разных   диапазонах напряжений, %</t>
  </si>
  <si>
    <t>бюджетные потребители</t>
  </si>
  <si>
    <t>тарифы на услуги по передаче э э</t>
  </si>
  <si>
    <t>база</t>
  </si>
  <si>
    <t>заявитель</t>
  </si>
  <si>
    <t>эксперт</t>
  </si>
  <si>
    <t xml:space="preserve"> дельта Зсн1/вн</t>
  </si>
  <si>
    <t xml:space="preserve">Базовый период  -2007г. </t>
  </si>
  <si>
    <t>другие с расшифровкой</t>
  </si>
  <si>
    <t xml:space="preserve"> -   %  за   пользование кредитом</t>
  </si>
  <si>
    <t xml:space="preserve">СН 1                   </t>
  </si>
  <si>
    <t xml:space="preserve">СН 11                   </t>
  </si>
  <si>
    <t xml:space="preserve">НН                  </t>
  </si>
  <si>
    <t>платежи              (с расшифровкой)</t>
  </si>
  <si>
    <t>Справочно</t>
  </si>
  <si>
    <t>Всего условных единиц оборудования</t>
  </si>
  <si>
    <t xml:space="preserve">    в том числе:</t>
  </si>
  <si>
    <t>Таблица N П1.6</t>
  </si>
  <si>
    <t xml:space="preserve">Потребители       </t>
  </si>
  <si>
    <t xml:space="preserve">Базовый период       </t>
  </si>
  <si>
    <t xml:space="preserve">Период регулирования  </t>
  </si>
  <si>
    <t>Всего отпущено потребителям</t>
  </si>
  <si>
    <t xml:space="preserve">Горячая вода              </t>
  </si>
  <si>
    <t xml:space="preserve">Отборный пар              </t>
  </si>
  <si>
    <t xml:space="preserve">- от 1,2 до 2,5 кгс/кв.см </t>
  </si>
  <si>
    <t xml:space="preserve">- от 2,5 до 7,0 кгс/кв.см </t>
  </si>
  <si>
    <t>- от 7,0 до 13,0 кгс/кв.см</t>
  </si>
  <si>
    <t xml:space="preserve">- свыше 13,0 кгс/кв.см    </t>
  </si>
  <si>
    <t xml:space="preserve">Острый и редуцированный   </t>
  </si>
  <si>
    <t>Расчетная (присоединенная) тепловая нагрузка (мощность), Гкал/час</t>
  </si>
  <si>
    <t>Энергия, тыс.Гкал</t>
  </si>
  <si>
    <t xml:space="preserve">В том числе бюджетные потребители              </t>
  </si>
  <si>
    <t>Структура полезного отпуска тепловой энергии</t>
  </si>
  <si>
    <t>АУП</t>
  </si>
  <si>
    <t>ИТР</t>
  </si>
  <si>
    <t xml:space="preserve">Период регулирования  2008г. Заявитель </t>
  </si>
  <si>
    <t>Таблица N П1.8</t>
  </si>
  <si>
    <t>Примечание. Заполняется всего и отдельно по каждой СЦТ</t>
  </si>
  <si>
    <t>п/п</t>
  </si>
  <si>
    <t xml:space="preserve">Предприятие    </t>
  </si>
  <si>
    <t xml:space="preserve">Электрическая энергия                  </t>
  </si>
  <si>
    <t xml:space="preserve">Тепловая энергия        </t>
  </si>
  <si>
    <t xml:space="preserve">Базовый период                                                         </t>
  </si>
  <si>
    <t xml:space="preserve">ТЭС                </t>
  </si>
  <si>
    <t xml:space="preserve">Котельная          </t>
  </si>
  <si>
    <t>2.1.</t>
  </si>
  <si>
    <t>3.2.</t>
  </si>
  <si>
    <t xml:space="preserve">Котельные          </t>
  </si>
  <si>
    <t xml:space="preserve">Период регулирования                                                       </t>
  </si>
  <si>
    <t xml:space="preserve">Приход натурального топлива &lt;*&gt;           </t>
  </si>
  <si>
    <t>Расход натурального топлива</t>
  </si>
  <si>
    <t xml:space="preserve">руб. </t>
  </si>
  <si>
    <t>тыс. руб.</t>
  </si>
  <si>
    <t>3 x 4</t>
  </si>
  <si>
    <t xml:space="preserve">6 x 11 </t>
  </si>
  <si>
    <t xml:space="preserve">13 x 14 </t>
  </si>
  <si>
    <t xml:space="preserve">Базовый период                                                                  </t>
  </si>
  <si>
    <t xml:space="preserve">ТЭС 1      </t>
  </si>
  <si>
    <t>Уголь ...</t>
  </si>
  <si>
    <t xml:space="preserve">Мазут   </t>
  </si>
  <si>
    <t xml:space="preserve">Торф    </t>
  </si>
  <si>
    <t xml:space="preserve">Прочие  </t>
  </si>
  <si>
    <t xml:space="preserve">...  </t>
  </si>
  <si>
    <t xml:space="preserve">и т.д.     </t>
  </si>
  <si>
    <t xml:space="preserve">Период регулирования                                                                 </t>
  </si>
  <si>
    <t>П1.9</t>
  </si>
  <si>
    <t>П1.10</t>
  </si>
  <si>
    <t>&lt;*&gt; К таблице прилагается расшифровка по поставщикам топлива с указанием объемов поставок и согласованных (договорных) цен</t>
  </si>
  <si>
    <t xml:space="preserve">Расход топлива                </t>
  </si>
  <si>
    <t xml:space="preserve">Цена топлива  </t>
  </si>
  <si>
    <t xml:space="preserve">Стоимость топлива </t>
  </si>
  <si>
    <t xml:space="preserve">тыс. тут       </t>
  </si>
  <si>
    <t xml:space="preserve">тыс. тнт (млн. м3) </t>
  </si>
  <si>
    <t xml:space="preserve">тыс. руб.     </t>
  </si>
  <si>
    <t>руб./тнт</t>
  </si>
  <si>
    <t>руб./тут</t>
  </si>
  <si>
    <t xml:space="preserve">Базовый период                                                           </t>
  </si>
  <si>
    <t xml:space="preserve">ТЭС 1         </t>
  </si>
  <si>
    <t xml:space="preserve">Газ    </t>
  </si>
  <si>
    <t xml:space="preserve">Мазут  </t>
  </si>
  <si>
    <t>Индексная модель ФСТ на 2011г.</t>
  </si>
  <si>
    <t xml:space="preserve">Уголь  </t>
  </si>
  <si>
    <t xml:space="preserve">Торф   </t>
  </si>
  <si>
    <t xml:space="preserve">Прочие </t>
  </si>
  <si>
    <t xml:space="preserve">...    </t>
  </si>
  <si>
    <t xml:space="preserve">и т.д.        </t>
  </si>
  <si>
    <t>Всего ЭСО (ПЭ)</t>
  </si>
  <si>
    <t xml:space="preserve">Период регулирования                                                        </t>
  </si>
  <si>
    <t xml:space="preserve">и т.д.         </t>
  </si>
  <si>
    <t>П1.11</t>
  </si>
  <si>
    <t xml:space="preserve">Тариф             </t>
  </si>
  <si>
    <t xml:space="preserve">Двухставочный    </t>
  </si>
  <si>
    <t>всего</t>
  </si>
  <si>
    <t xml:space="preserve">Базовый период                                       </t>
  </si>
  <si>
    <t>Электроэнергия</t>
  </si>
  <si>
    <t xml:space="preserve">Всего        </t>
  </si>
  <si>
    <t xml:space="preserve">в том числе  </t>
  </si>
  <si>
    <t>оптовый рынок</t>
  </si>
  <si>
    <t xml:space="preserve">поставщик 1  </t>
  </si>
  <si>
    <t xml:space="preserve">...          </t>
  </si>
  <si>
    <t xml:space="preserve">... </t>
  </si>
  <si>
    <t xml:space="preserve">Теплоэнергия </t>
  </si>
  <si>
    <t xml:space="preserve">поставщик 2  </t>
  </si>
  <si>
    <t xml:space="preserve">Итого        </t>
  </si>
  <si>
    <t xml:space="preserve">Период регулирования                                  </t>
  </si>
  <si>
    <t>П1.12</t>
  </si>
  <si>
    <t>При использовании одноставочного тарифа столбцы 4, 6, 7, 8 и 9 не заполняются.</t>
  </si>
  <si>
    <t>1.</t>
  </si>
  <si>
    <t>2.</t>
  </si>
  <si>
    <t xml:space="preserve">Наименование показателя        </t>
  </si>
  <si>
    <t xml:space="preserve">Сырье, основные материалы              </t>
  </si>
  <si>
    <t xml:space="preserve">Вспомогательные материалы              </t>
  </si>
  <si>
    <t xml:space="preserve">из них на ремонт                       </t>
  </si>
  <si>
    <t xml:space="preserve">Топливо на технологические цели        </t>
  </si>
  <si>
    <t xml:space="preserve">5.    </t>
  </si>
  <si>
    <t xml:space="preserve">Энергия                                </t>
  </si>
  <si>
    <t xml:space="preserve">5.1.  </t>
  </si>
  <si>
    <t xml:space="preserve">5.2.  </t>
  </si>
  <si>
    <t xml:space="preserve">Энергия на хозяйственные нужды         </t>
  </si>
  <si>
    <t xml:space="preserve">6.    </t>
  </si>
  <si>
    <t xml:space="preserve">Затраты на оплату труда                 </t>
  </si>
  <si>
    <t xml:space="preserve">7.    </t>
  </si>
  <si>
    <t xml:space="preserve">Отчисления на социальные нужды         </t>
  </si>
  <si>
    <t xml:space="preserve">8.    </t>
  </si>
  <si>
    <t xml:space="preserve">Амортизация основных средств           </t>
  </si>
  <si>
    <t xml:space="preserve">9.    </t>
  </si>
  <si>
    <t xml:space="preserve">Прочие затраты всего, в том числе:      </t>
  </si>
  <si>
    <t xml:space="preserve">9.1.  </t>
  </si>
  <si>
    <t xml:space="preserve">9.2.  </t>
  </si>
  <si>
    <t xml:space="preserve">9.3.  </t>
  </si>
  <si>
    <t xml:space="preserve">9.4.  </t>
  </si>
  <si>
    <t xml:space="preserve">9.5.  </t>
  </si>
  <si>
    <t xml:space="preserve">9.6.  </t>
  </si>
  <si>
    <t xml:space="preserve">Водный налог (ГЭС)                     </t>
  </si>
  <si>
    <t xml:space="preserve">9.7.  </t>
  </si>
  <si>
    <t>9.7.1.</t>
  </si>
  <si>
    <t>9.7.2.</t>
  </si>
  <si>
    <t xml:space="preserve">Налог на пользователей автодорог       </t>
  </si>
  <si>
    <t xml:space="preserve">9.8.  </t>
  </si>
  <si>
    <t>9.8.1.</t>
  </si>
  <si>
    <t xml:space="preserve">10.   </t>
  </si>
  <si>
    <t xml:space="preserve">Итого расходов                         </t>
  </si>
  <si>
    <t xml:space="preserve">11.   </t>
  </si>
  <si>
    <t xml:space="preserve">12.   </t>
  </si>
  <si>
    <t xml:space="preserve">13.   </t>
  </si>
  <si>
    <t xml:space="preserve">в том числе:                           </t>
  </si>
  <si>
    <t xml:space="preserve">13.1. </t>
  </si>
  <si>
    <t xml:space="preserve">- электрическая энергия                </t>
  </si>
  <si>
    <t>13.1.1.</t>
  </si>
  <si>
    <t xml:space="preserve">производство электроэнергии            </t>
  </si>
  <si>
    <t>13.1.2.</t>
  </si>
  <si>
    <t xml:space="preserve">покупная электроэнергия                </t>
  </si>
  <si>
    <t>13.1.3.</t>
  </si>
  <si>
    <t xml:space="preserve">13.2. </t>
  </si>
  <si>
    <t xml:space="preserve">- тепловая энергия                     </t>
  </si>
  <si>
    <t>13.2.1.</t>
  </si>
  <si>
    <t xml:space="preserve">производство теплоэнергии              </t>
  </si>
  <si>
    <t>13.2.2.</t>
  </si>
  <si>
    <t xml:space="preserve">покупная теплоэнергия                  </t>
  </si>
  <si>
    <t>13.2.3.</t>
  </si>
  <si>
    <t xml:space="preserve">передача теплоэнергии                  </t>
  </si>
  <si>
    <t xml:space="preserve">13.3. </t>
  </si>
  <si>
    <t xml:space="preserve">- прочая продукция                     </t>
  </si>
  <si>
    <t>&lt;*&gt; Заполняется в целом и отдельно по: производству электрической энергии, производству тепловой энергии, передаче электрической энергии, передаче тепловой энергии.</t>
  </si>
  <si>
    <t xml:space="preserve">N  </t>
  </si>
  <si>
    <t xml:space="preserve">Показатели              </t>
  </si>
  <si>
    <t xml:space="preserve">Численность                          </t>
  </si>
  <si>
    <t xml:space="preserve">Численность ППП                      </t>
  </si>
  <si>
    <t xml:space="preserve">чел. </t>
  </si>
  <si>
    <t xml:space="preserve">Средняя оплата труда                 </t>
  </si>
  <si>
    <t xml:space="preserve">2.1.  </t>
  </si>
  <si>
    <t xml:space="preserve">Тарифная ставка рабочего 1 разряда   </t>
  </si>
  <si>
    <t xml:space="preserve">2.2.  </t>
  </si>
  <si>
    <t xml:space="preserve">Дефлятор по заработной плате         </t>
  </si>
  <si>
    <t xml:space="preserve">2.3.  </t>
  </si>
  <si>
    <t xml:space="preserve">2.4.  </t>
  </si>
  <si>
    <t>Факт 2012 Год</t>
  </si>
  <si>
    <t>План 2014 Январь</t>
  </si>
  <si>
    <t>План 2014 Февраль</t>
  </si>
  <si>
    <t>План 2014 Март</t>
  </si>
  <si>
    <t>План 2014 Апрель</t>
  </si>
  <si>
    <t>План 2014 Май</t>
  </si>
  <si>
    <t>План 2014 Июнь</t>
  </si>
  <si>
    <t>План 2014 Июль</t>
  </si>
  <si>
    <t>План 2014 Август</t>
  </si>
  <si>
    <t>План 2014 Сентябрь</t>
  </si>
  <si>
    <t>План 2014 Октябрь</t>
  </si>
  <si>
    <t>План 2014 Ноябрь</t>
  </si>
  <si>
    <t>План 2014 Декабрь</t>
  </si>
  <si>
    <t>План 2014 Год</t>
  </si>
  <si>
    <t>2012=2013</t>
  </si>
  <si>
    <t>2008=2010</t>
  </si>
  <si>
    <t>Протяженность Заявитель</t>
  </si>
  <si>
    <t>РП1-ТП-1</t>
  </si>
  <si>
    <t>РП1-ТП-2</t>
  </si>
  <si>
    <t>РП2-ТП-3</t>
  </si>
  <si>
    <t xml:space="preserve">Средняя ступень оплаты               </t>
  </si>
  <si>
    <t xml:space="preserve">2.5.  </t>
  </si>
  <si>
    <t xml:space="preserve">2.6.  </t>
  </si>
  <si>
    <t xml:space="preserve">Среднемесячная тарифная ставка ППП   </t>
  </si>
  <si>
    <t xml:space="preserve">- " - </t>
  </si>
  <si>
    <t xml:space="preserve">2.7.  </t>
  </si>
  <si>
    <t>2.7.1.</t>
  </si>
  <si>
    <t xml:space="preserve">процент выплаты                       </t>
  </si>
  <si>
    <t>2.7.2.</t>
  </si>
  <si>
    <t xml:space="preserve">сумма выплат                         </t>
  </si>
  <si>
    <t xml:space="preserve">2.8.  </t>
  </si>
  <si>
    <t xml:space="preserve">Текущее премирование                 </t>
  </si>
  <si>
    <t>2.8.1.</t>
  </si>
  <si>
    <t xml:space="preserve">процент выплаты                      </t>
  </si>
  <si>
    <t>2.8.2.</t>
  </si>
  <si>
    <t xml:space="preserve">2.9.  </t>
  </si>
  <si>
    <t xml:space="preserve">Вознаграждение за выслугу лет        </t>
  </si>
  <si>
    <t>2.9.1.</t>
  </si>
  <si>
    <t>2.9.2.</t>
  </si>
  <si>
    <t xml:space="preserve">2.10. </t>
  </si>
  <si>
    <t xml:space="preserve">Выплаты по итогам года               </t>
  </si>
  <si>
    <t>2.10.1.</t>
  </si>
  <si>
    <t>2.10.2.</t>
  </si>
  <si>
    <t xml:space="preserve">2.11. </t>
  </si>
  <si>
    <t>2.11.1.</t>
  </si>
  <si>
    <t>2.11.2.</t>
  </si>
  <si>
    <t xml:space="preserve">2.12. </t>
  </si>
  <si>
    <t xml:space="preserve">3.1.  </t>
  </si>
  <si>
    <t xml:space="preserve">Льготный проезд к месту отдыха       </t>
  </si>
  <si>
    <t xml:space="preserve">3.2.  </t>
  </si>
  <si>
    <t xml:space="preserve">По Постановлению от 03.11.94 N 1206  </t>
  </si>
  <si>
    <t xml:space="preserve">3.3.  </t>
  </si>
  <si>
    <t xml:space="preserve">Итого средства на оплату труда ППП   </t>
  </si>
  <si>
    <t xml:space="preserve">4.1.  </t>
  </si>
  <si>
    <t xml:space="preserve">4.2.  </t>
  </si>
  <si>
    <t xml:space="preserve">4.3.  </t>
  </si>
  <si>
    <t xml:space="preserve">4.4.  </t>
  </si>
  <si>
    <t xml:space="preserve">4.5.  </t>
  </si>
  <si>
    <t xml:space="preserve">Расчет по денежным выплатам          </t>
  </si>
  <si>
    <t xml:space="preserve">Денежные выплаты на 1 работника      </t>
  </si>
  <si>
    <t xml:space="preserve">5.3.  </t>
  </si>
  <si>
    <t xml:space="preserve">Итого по денежным выплатам           </t>
  </si>
  <si>
    <t xml:space="preserve">Итого средства на потребление        </t>
  </si>
  <si>
    <t xml:space="preserve">Среднемесячный доход на 1 работника  </t>
  </si>
  <si>
    <t>П1.16</t>
  </si>
  <si>
    <t>использование а/т</t>
  </si>
  <si>
    <t xml:space="preserve">&lt;*&gt; Заполняется в целом и отдельно по: производству электрической энергии, производству тепловой энергии, передаче электрической энергии, передаче тепловой энергии.
</t>
  </si>
  <si>
    <t>Выработка электроэнергии,  млн.  кВт.ч</t>
  </si>
  <si>
    <t>Дельта НВВвн-сн</t>
  </si>
  <si>
    <t>дельта НВВвн-сн1</t>
  </si>
  <si>
    <t>дельта НВВвн-сн2</t>
  </si>
  <si>
    <t xml:space="preserve">Расход электроэнергии  на собственные   нужды    всего,   млн. кВт.ч  </t>
  </si>
  <si>
    <t>То же в %</t>
  </si>
  <si>
    <t>в том числе на электроэнергию</t>
  </si>
  <si>
    <t>Отпуск с шин млн.кВт.ч</t>
  </si>
  <si>
    <t>ИП Яковлев И.В.</t>
  </si>
  <si>
    <t>Удельный расход условного топлива г/кВт.ч</t>
  </si>
  <si>
    <t>Расход  условного топлива тыс. тут</t>
  </si>
  <si>
    <t>Расход  условного топлива всего тыс. тут</t>
  </si>
  <si>
    <t>Отпуск теплоэнергии тыс.Гкал</t>
  </si>
  <si>
    <t>Собственные (производственные) нужды, кВт.ч/Гкал</t>
  </si>
  <si>
    <t xml:space="preserve">Всего по ЭСО (ПЭ)  в т.ч. </t>
  </si>
  <si>
    <t>Расчет расхода топлива по электростанциям (котельным)</t>
  </si>
  <si>
    <t>Таблица N П1.9</t>
  </si>
  <si>
    <t>Электростанция (котельная)</t>
  </si>
  <si>
    <t>Вид  топлива</t>
  </si>
  <si>
    <t>Остаток на начало периода</t>
  </si>
  <si>
    <t>Остаток на конец  периода</t>
  </si>
  <si>
    <t>Стоимость тыс.руб</t>
  </si>
  <si>
    <t>Цена, руб/тнт</t>
  </si>
  <si>
    <t>Всего, тыс. тнт</t>
  </si>
  <si>
    <t>Стоимость, тыс. руб</t>
  </si>
  <si>
    <t>Всего,  тнт</t>
  </si>
  <si>
    <t>Цена франко станция назначения руб/тнт</t>
  </si>
  <si>
    <t>Норматив потерь при перевозке</t>
  </si>
  <si>
    <t>Тариф на перевозку</t>
  </si>
  <si>
    <t>Дальность перевозки</t>
  </si>
  <si>
    <t>Цена франко станция</t>
  </si>
  <si>
    <t>Всего, тнт</t>
  </si>
  <si>
    <t>Всего, тыс.тнт</t>
  </si>
  <si>
    <t xml:space="preserve">(7 + 8 x 9)x (1 + 10) </t>
  </si>
  <si>
    <t xml:space="preserve">(5 + 12) /(3 + 6) </t>
  </si>
  <si>
    <t>3 + 6-13</t>
  </si>
  <si>
    <t>5 + 12 -15</t>
  </si>
  <si>
    <t>Всего ЭСО  (ПЭ)</t>
  </si>
  <si>
    <t>Расчет баланса топлива</t>
  </si>
  <si>
    <t>Таблица N П1.10</t>
  </si>
  <si>
    <t>Наименование электростанции (котельной)</t>
  </si>
  <si>
    <t>Теплоэнергия</t>
  </si>
  <si>
    <t>Переводной коэффициент</t>
  </si>
  <si>
    <t>&lt;*&gt; К таблице прилагается расшифровка по поставщикам топлива с указанием объемов поставок и согласованных (договорных) цен.</t>
  </si>
  <si>
    <t>Расчет затрат на топливо для выработки электрической и тепловой энергии</t>
  </si>
  <si>
    <t>Таблица N П1.11</t>
  </si>
  <si>
    <t>Наименование поставщика</t>
  </si>
  <si>
    <t>Объем покупной энергии млн.кВт.ч, (тыс. Гкал)</t>
  </si>
  <si>
    <t>Расчетная мощность, тыс кВт.ч (Гкал/час)</t>
  </si>
  <si>
    <t xml:space="preserve">Одноставочный </t>
  </si>
  <si>
    <t>Затраты на покупку тыс.руб</t>
  </si>
  <si>
    <t>энергии</t>
  </si>
  <si>
    <t>мощности</t>
  </si>
  <si>
    <t>руб./тыс.кВт.ч    (руб/Гкал.)</t>
  </si>
  <si>
    <t xml:space="preserve">Ставка за мощность руб./кВт   (тыс. руб./Гкал/ч) </t>
  </si>
  <si>
    <t>Ставка за энергию руб./тыс.кВт.ч   (руб./ Гкал)</t>
  </si>
  <si>
    <t>Расчет стоимости покупной энергии на технологические цели</t>
  </si>
  <si>
    <t>Таблица N П1.12</t>
  </si>
  <si>
    <t>Примечание. При покупке электрической энергии по зонным тарифам столбцы 3, 5 и 10 заполняются по конкретному поставщику по периодам:  пик, полупик, ночь.</t>
  </si>
  <si>
    <t xml:space="preserve">Расходы, отнесенные на передачу электрической энергии  </t>
  </si>
  <si>
    <t xml:space="preserve">Прибыль, отнесенная  на передачу электрической энергии </t>
  </si>
  <si>
    <t>Таблица N П1.28.3</t>
  </si>
  <si>
    <t xml:space="preserve">Всего по потребителям          </t>
  </si>
  <si>
    <t>тыс. Гкал</t>
  </si>
  <si>
    <t xml:space="preserve">3.     </t>
  </si>
  <si>
    <t xml:space="preserve"> </t>
  </si>
  <si>
    <t>Ставка за мощность</t>
  </si>
  <si>
    <t xml:space="preserve">Ставка за энергию </t>
  </si>
  <si>
    <t xml:space="preserve">6.1.  </t>
  </si>
  <si>
    <t>Расчет экономически обоснованных тарифов на тепловую энергию (мощность) по группам потребителей</t>
  </si>
  <si>
    <t>1.28.3</t>
  </si>
  <si>
    <t>дельта НВВсн2-нн</t>
  </si>
  <si>
    <t>горячая вода</t>
  </si>
  <si>
    <t>1,2 - 2,5 кг/см2</t>
  </si>
  <si>
    <t>2,5 - 7,0 кг/см2</t>
  </si>
  <si>
    <t>7,0 - 13,0 кг/см2</t>
  </si>
  <si>
    <t>&gt; 13 кг/см2</t>
  </si>
  <si>
    <t>2006 год</t>
  </si>
  <si>
    <t>27цех ФОТ 2007год</t>
  </si>
  <si>
    <t>ФОТ, тыс.руб.</t>
  </si>
  <si>
    <t>доля прямых цеха в общезаводских</t>
  </si>
  <si>
    <t>доля на передачу</t>
  </si>
  <si>
    <t>2007 с 1,08</t>
  </si>
  <si>
    <t>Расчет платы за услуги по содержанию электрических сетей ОАО "Восход"-КРЛЗ</t>
  </si>
  <si>
    <t>острый и редуцированный</t>
  </si>
  <si>
    <t xml:space="preserve">отборный пар </t>
  </si>
  <si>
    <t>в том числе</t>
  </si>
  <si>
    <t>В том числе бюджетные потребители</t>
  </si>
  <si>
    <t>Объем     полезного отпуска</t>
  </si>
  <si>
    <t xml:space="preserve">Расчетная  (присоединенная) тепловая   мощность (нагрузка)       </t>
  </si>
  <si>
    <t xml:space="preserve">Тариф  на   покупку тепловой энергии </t>
  </si>
  <si>
    <t>тыс. руб./Гкал/час</t>
  </si>
  <si>
    <t xml:space="preserve">Средний одноставочный тариф          </t>
  </si>
  <si>
    <t>тыс. руб./Гкал/ч</t>
  </si>
  <si>
    <t>Плата за услуги  по передаче   тепловой энергии</t>
  </si>
  <si>
    <t xml:space="preserve">Товарная продукция всего п. 5 x п. 1 в том числе </t>
  </si>
  <si>
    <t>- за       тепловую энергию п. 3 x п. 1</t>
  </si>
  <si>
    <t xml:space="preserve">- за услуги п. 4  x п. 1 </t>
  </si>
  <si>
    <t>2013 год</t>
  </si>
  <si>
    <t>2014 год</t>
  </si>
  <si>
    <t xml:space="preserve">Отпуск   теплоэнергии, всего  в том числе:   </t>
  </si>
  <si>
    <t>- с коллекторов ТЭС</t>
  </si>
  <si>
    <t>- от котельных</t>
  </si>
  <si>
    <t>- от электробойлерных</t>
  </si>
  <si>
    <t>Отпуск теплоэнергии  в сеть ЭСО (п. 1 + п. 2)</t>
  </si>
  <si>
    <t>Потери теплоэнергии  в сети ЭСО в том числе:</t>
  </si>
  <si>
    <t>- с через изоляцию</t>
  </si>
  <si>
    <t>-  потерями теплоносителя</t>
  </si>
  <si>
    <t>То же в % к отпуску  в сеть</t>
  </si>
  <si>
    <t>Таблица П1.25</t>
  </si>
  <si>
    <t>Полезный        отпуск теплоэнергии ЭСО (п. 3 - п. 4), всего</t>
  </si>
  <si>
    <t>4.2</t>
  </si>
  <si>
    <t>1</t>
  </si>
  <si>
    <t>2009 инд</t>
  </si>
  <si>
    <t>4.3</t>
  </si>
  <si>
    <t>Покупная теплоэнергия в том числе:</t>
  </si>
  <si>
    <t>……</t>
  </si>
  <si>
    <t>Таблица N П1.7</t>
  </si>
  <si>
    <t xml:space="preserve"> транспортный налог</t>
  </si>
  <si>
    <t>Расчет полезного отпуска тепловой энергии ЭСО (ПЭ)</t>
  </si>
  <si>
    <t>1.7</t>
  </si>
  <si>
    <t>Всего расходы</t>
  </si>
  <si>
    <t>Таблица N П1.15</t>
  </si>
  <si>
    <t>Работы   и    услуги   производственного характера</t>
  </si>
  <si>
    <t>Энергия    на    технологические    цели (покупная энергия Таблица N П1.12)</t>
  </si>
  <si>
    <t xml:space="preserve">Плата за  предельно  допустимые  выбросы (сбросы)  </t>
  </si>
  <si>
    <t>Отчисления  в  ремонтный  фонд (в случае его формирования)</t>
  </si>
  <si>
    <t>Таблица № П2.1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</si>
  <si>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 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</si>
  <si>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</si>
  <si>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</si>
  <si>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</si>
  <si>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</si>
  <si>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</si>
  <si>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</si>
  <si>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</si>
  <si>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</si>
  <si>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</si>
  <si>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 /100</t>
  </si>
  <si>
    <t>ВЛЭП</t>
  </si>
  <si>
    <t>-</t>
  </si>
  <si>
    <t>металл</t>
  </si>
  <si>
    <t>В соответствии с п. 4.3. Приказа Минэнерго от 29.06.2010 № 296 отклонения не превышают  допустимое значение для ТСО (35 % - на первые три расчетных периода регулирования)</t>
  </si>
  <si>
    <t xml:space="preserve"> - </t>
  </si>
  <si>
    <t>Норматив потерь в сетях (по таблице 3.1)</t>
  </si>
  <si>
    <r>
      <t xml:space="preserve">N </t>
    </r>
    <r>
      <rPr>
        <b/>
        <sz val="8"/>
        <rFont val="Times New Roman"/>
        <family val="1"/>
      </rPr>
      <t>норматив потерь ТСО</t>
    </r>
  </si>
  <si>
    <r>
      <t xml:space="preserve">N </t>
    </r>
    <r>
      <rPr>
        <b/>
        <sz val="10"/>
        <rFont val="Times New Roman"/>
        <family val="1"/>
      </rPr>
      <t xml:space="preserve">факт </t>
    </r>
  </si>
  <si>
    <t>Отчисления в ремонтный фонд</t>
  </si>
  <si>
    <t>6 кВ</t>
  </si>
  <si>
    <t xml:space="preserve">РП-3 </t>
  </si>
  <si>
    <t>ОАО Элмат (КТП-10)</t>
  </si>
  <si>
    <t>2*250</t>
  </si>
  <si>
    <t>КЛ, м</t>
  </si>
  <si>
    <t>Ист.</t>
  </si>
  <si>
    <t>разъед</t>
  </si>
  <si>
    <t>выкл ВН</t>
  </si>
  <si>
    <t>ОАО КЗАЭ (КТП)</t>
  </si>
  <si>
    <t>ЗАО Алгонт (КТП)</t>
  </si>
  <si>
    <t>ТП-2</t>
  </si>
  <si>
    <t>Автокооператив</t>
  </si>
  <si>
    <t>ТП-3</t>
  </si>
  <si>
    <t>ТП-7</t>
  </si>
  <si>
    <t>ИП Золочевская</t>
  </si>
  <si>
    <t>0,4 кв</t>
  </si>
  <si>
    <t>ООО Юкис опосредовано через гараж</t>
  </si>
  <si>
    <t>ТП-2 опосред</t>
  </si>
  <si>
    <t>ТП-7 шинный мост</t>
  </si>
  <si>
    <t>ТП7-шин мост</t>
  </si>
  <si>
    <t>Эколюм</t>
  </si>
  <si>
    <t>ЗАО Энергомаш</t>
  </si>
  <si>
    <t>ИП Тутенкова Автостоянка</t>
  </si>
  <si>
    <t>МУП ГЭТ УКТ</t>
  </si>
  <si>
    <t>?</t>
  </si>
  <si>
    <t>ИП Боюл</t>
  </si>
  <si>
    <t>Поликлиника №3 Горбольн №4</t>
  </si>
  <si>
    <t>ЗАО Микротех (КТП)</t>
  </si>
  <si>
    <t>ИП Бровкин (КТП)</t>
  </si>
  <si>
    <t xml:space="preserve">ТП-7 </t>
  </si>
  <si>
    <t>ДЮСШ №%</t>
  </si>
  <si>
    <t>ТП-2 эл/щит0,4</t>
  </si>
  <si>
    <t>ИП Поповкин</t>
  </si>
  <si>
    <t>ООО Премьера</t>
  </si>
  <si>
    <t>ООО Автосалон Престиж</t>
  </si>
  <si>
    <t>Корректировка НВВ с учетом надежности и качества оказываемых услуг по результатам 2012 года</t>
  </si>
  <si>
    <t>Наименование показателей</t>
  </si>
  <si>
    <t>Обзнач. в Методических указаниях</t>
  </si>
  <si>
    <t>Оценка достижения показателя уровня надежности   оказываемых услуг</t>
  </si>
  <si>
    <t>Оценка достижения показателя уровня качества оказываемых услуг</t>
  </si>
  <si>
    <t xml:space="preserve">Обобщенный показатель уровня надежности и качества оказываемых услуг </t>
  </si>
  <si>
    <t xml:space="preserve">                           </t>
  </si>
  <si>
    <t>Максимальный процент корректировки, %</t>
  </si>
  <si>
    <t>Коэффициент, корректирующий НВВ с учетом надежности и качества оказываемых услуг</t>
  </si>
  <si>
    <t>Утвержденная НВВ на содержание электрических сетей (тыс. руб.)</t>
  </si>
  <si>
    <r>
      <t>НВВ</t>
    </r>
    <r>
      <rPr>
        <i/>
        <sz val="8"/>
        <rFont val="Times New Roman"/>
        <family val="1"/>
      </rPr>
      <t>сод</t>
    </r>
  </si>
  <si>
    <t>Величина корректировки НВВ с учетом надежности и качества оказываемых услуг</t>
  </si>
  <si>
    <t>Значение</t>
  </si>
  <si>
    <t>Расчет компенсации выпадающих/излишне полученных доходов, возникающих в результате отличия фактических цен покупки технологических потерь электрической энергии от установленных при утверждении тарифов (п. 11 МУ)              формула 8</t>
  </si>
  <si>
    <t>В соответствии с подразделом 1 пункта 6 Методических указаний № 254-э/1 от 26.10.2010 в случае непредставления ТСО отчетных данных КНК признается понижающим и устанавливается равныи (-3%)</t>
  </si>
  <si>
    <t xml:space="preserve">Отклонения фактических значений параметров расчета тарифов по итогам 2012 года и корректировка НВВ 2014 года с учетом надежности и качества оказываемых услуг </t>
  </si>
  <si>
    <t xml:space="preserve"> 1.1</t>
  </si>
  <si>
    <t xml:space="preserve"> 1.2</t>
  </si>
  <si>
    <r>
      <t>Дельта НВВ</t>
    </r>
    <r>
      <rPr>
        <b/>
        <sz val="9"/>
        <rFont val="Times New Roman"/>
        <family val="1"/>
      </rPr>
      <t>кор (сумма строк 3-6)</t>
    </r>
  </si>
  <si>
    <t xml:space="preserve">Корректировка необходимой валовой выручки  </t>
  </si>
  <si>
    <r>
      <t>Дельта НВВ</t>
    </r>
    <r>
      <rPr>
        <b/>
        <sz val="9"/>
        <rFont val="Times New Roman"/>
        <family val="1"/>
      </rPr>
      <t>кнк</t>
    </r>
  </si>
  <si>
    <r>
      <t xml:space="preserve"> П</t>
    </r>
    <r>
      <rPr>
        <b/>
        <sz val="9"/>
        <rFont val="Times New Roman"/>
        <family val="1"/>
      </rPr>
      <t xml:space="preserve"> = П</t>
    </r>
    <r>
      <rPr>
        <b/>
        <sz val="8"/>
        <rFont val="Times New Roman"/>
        <family val="1"/>
      </rPr>
      <t xml:space="preserve">пл </t>
    </r>
    <r>
      <rPr>
        <b/>
        <sz val="10"/>
        <rFont val="Times New Roman"/>
        <family val="1"/>
      </rPr>
      <t>х (1+К)</t>
    </r>
  </si>
  <si>
    <t xml:space="preserve"> П= Ппл х (1-К)</t>
  </si>
  <si>
    <t>2014 (справочно)</t>
  </si>
  <si>
    <t>2015 (базовый)</t>
  </si>
  <si>
    <t>2013 факт</t>
  </si>
  <si>
    <t>Расчет НВВ на 2015-2019 годы</t>
  </si>
  <si>
    <t>Уровень надежности реализуемых товаров (услуг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</si>
  <si>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</si>
  <si>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</si>
  <si>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Дельта ПР2015=ПРуст2012*(1- 0,01)*(1+ИПЦ факт 2013)*(1+0,75*((у.е.2013-у.е.2012)/у.е.2012))-ПР2013</t>
  </si>
  <si>
    <t>Установленные  ПР на 2012 г.</t>
  </si>
  <si>
    <r>
      <t>Индекс эффективности ПР 2015 г.</t>
    </r>
    <r>
      <rPr>
        <b/>
        <sz val="12"/>
        <rFont val="Times New Roman"/>
        <family val="1"/>
      </rPr>
      <t xml:space="preserve"> X</t>
    </r>
    <r>
      <rPr>
        <b/>
        <sz val="8"/>
        <rFont val="Times New Roman"/>
        <family val="1"/>
      </rPr>
      <t>2015</t>
    </r>
  </si>
  <si>
    <r>
      <t xml:space="preserve">ИПЦ </t>
    </r>
    <r>
      <rPr>
        <b/>
        <sz val="8"/>
        <rFont val="Times New Roman"/>
        <family val="1"/>
      </rPr>
      <t xml:space="preserve">факт2013 </t>
    </r>
    <r>
      <rPr>
        <b/>
        <sz val="12"/>
        <rFont val="Times New Roman"/>
        <family val="1"/>
      </rPr>
      <t xml:space="preserve">  </t>
    </r>
  </si>
  <si>
    <r>
      <t xml:space="preserve">Коэффициент эластичности ПР </t>
    </r>
    <r>
      <rPr>
        <b/>
        <sz val="12"/>
        <rFont val="Times New Roman"/>
        <family val="1"/>
      </rPr>
      <t>К</t>
    </r>
    <r>
      <rPr>
        <b/>
        <sz val="8"/>
        <rFont val="Times New Roman"/>
        <family val="1"/>
      </rPr>
      <t>эл</t>
    </r>
  </si>
  <si>
    <r>
      <t>Индекс изменения количества активов</t>
    </r>
    <r>
      <rPr>
        <b/>
        <sz val="12"/>
        <rFont val="Times New Roman"/>
        <family val="1"/>
      </rPr>
      <t xml:space="preserve"> ИКА</t>
    </r>
    <r>
      <rPr>
        <b/>
        <sz val="8"/>
        <rFont val="Times New Roman"/>
        <family val="1"/>
      </rPr>
      <t>ф</t>
    </r>
  </si>
  <si>
    <t>У.Е.   2013 г.</t>
  </si>
  <si>
    <t>У.Е.   2012 г.</t>
  </si>
  <si>
    <t>Установленные  ПР на 2013 г.</t>
  </si>
  <si>
    <t>Дельта ПР 2015 г.</t>
  </si>
  <si>
    <t>дельта 2013</t>
  </si>
  <si>
    <t>(формула 7 МУ)</t>
  </si>
  <si>
    <t>Плановый отпуск электрической энергии в сеть на 2013 год</t>
  </si>
  <si>
    <t>Объем потерь от передачи электроэнергии субабонентам, учтенный в сводном прогнозном балансе на 2013 год</t>
  </si>
  <si>
    <t>Цена покупки электрической энергии в целях компенсации потерь, учтенная при установлении тарифов на 2013 год</t>
  </si>
  <si>
    <r>
      <t>Э</t>
    </r>
    <r>
      <rPr>
        <b/>
        <sz val="9"/>
        <rFont val="Times New Roman"/>
        <family val="1"/>
      </rPr>
      <t xml:space="preserve"> отп план 2013</t>
    </r>
  </si>
  <si>
    <r>
      <t xml:space="preserve">П </t>
    </r>
    <r>
      <rPr>
        <b/>
        <vertAlign val="subscript"/>
        <sz val="12"/>
        <rFont val="Times New Roman"/>
        <family val="1"/>
      </rPr>
      <t>2013</t>
    </r>
  </si>
  <si>
    <r>
      <t xml:space="preserve">ЦП </t>
    </r>
    <r>
      <rPr>
        <b/>
        <vertAlign val="subscript"/>
        <sz val="12"/>
        <rFont val="Times New Roman"/>
        <family val="1"/>
      </rPr>
      <t>2013</t>
    </r>
  </si>
  <si>
    <r>
      <t>Э</t>
    </r>
    <r>
      <rPr>
        <b/>
        <sz val="9"/>
        <rFont val="Times New Roman"/>
        <family val="1"/>
      </rPr>
      <t>отп фак 2013</t>
    </r>
  </si>
  <si>
    <r>
      <t>П</t>
    </r>
    <r>
      <rPr>
        <b/>
        <vertAlign val="superscript"/>
        <sz val="12"/>
        <rFont val="Times New Roman"/>
        <family val="1"/>
      </rPr>
      <t>ф</t>
    </r>
    <r>
      <rPr>
        <b/>
        <sz val="12"/>
        <rFont val="Times New Roman"/>
        <family val="1"/>
      </rPr>
      <t xml:space="preserve"> </t>
    </r>
    <r>
      <rPr>
        <b/>
        <vertAlign val="subscript"/>
        <sz val="12"/>
        <rFont val="Times New Roman"/>
        <family val="1"/>
      </rPr>
      <t>2013</t>
    </r>
  </si>
  <si>
    <r>
      <t>ЦП</t>
    </r>
    <r>
      <rPr>
        <b/>
        <vertAlign val="superscript"/>
        <sz val="12"/>
        <rFont val="Times New Roman"/>
        <family val="1"/>
      </rPr>
      <t>ф</t>
    </r>
    <r>
      <rPr>
        <b/>
        <sz val="12"/>
        <rFont val="Times New Roman"/>
        <family val="1"/>
      </rPr>
      <t xml:space="preserve"> </t>
    </r>
    <r>
      <rPr>
        <b/>
        <vertAlign val="subscript"/>
        <sz val="12"/>
        <rFont val="Times New Roman"/>
        <family val="1"/>
      </rPr>
      <t>2013</t>
    </r>
  </si>
  <si>
    <t xml:space="preserve">Корректировка неподконтрольных расходов за 2013 год </t>
  </si>
  <si>
    <t>Предложения ОАО "Восход" - Калужский радиоламповый завод по технологическому расходу электроэнергии (мощности) - потерям в электрических сетях на 2012 год в регионе: Калужская область</t>
  </si>
  <si>
    <t>2015 ТСО</t>
  </si>
  <si>
    <t xml:space="preserve">Сальдированный переток электроэнергии из сети  сетевой  организации 
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</si>
  <si>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</si>
  <si>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</si>
  <si>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</si>
  <si>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</si>
  <si>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</si>
  <si>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</si>
  <si>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</si>
  <si>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</si>
  <si>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 xml:space="preserve"> 1.4</t>
  </si>
  <si>
    <t>Необходимая валовая выручка на содержание сетей, без корректировки:</t>
  </si>
  <si>
    <t xml:space="preserve"> расходы на страхование (медицинское, имущества =добровольное)</t>
  </si>
  <si>
    <t>Сертификат ключа для передачи 46 формы ЕИАС</t>
  </si>
  <si>
    <t>заявитель 2015</t>
  </si>
  <si>
    <t>Выпадающие доходы/экономия средств</t>
  </si>
  <si>
    <t>Период регулирования Заявитель 2015</t>
  </si>
  <si>
    <t>Период регулирования Экспертиза 2015</t>
  </si>
  <si>
    <t>2.5.9.5</t>
  </si>
  <si>
    <t xml:space="preserve"> -Налоги и обязательные платежи</t>
  </si>
  <si>
    <t>страховые взносы  (страхование транспорта и ответственности (автогражданка))</t>
  </si>
  <si>
    <t>РП2-ТП5</t>
  </si>
  <si>
    <t>РП2-ТП6</t>
  </si>
  <si>
    <t>РП2-РП-3</t>
  </si>
  <si>
    <t>РП3-ТП12</t>
  </si>
  <si>
    <t>РП3- ТП-8</t>
  </si>
  <si>
    <t>РП3- ТП-9</t>
  </si>
  <si>
    <t>РП3- ТП-10</t>
  </si>
  <si>
    <t>РП3- ТП-8А</t>
  </si>
  <si>
    <t>РП3- ТП-11</t>
  </si>
  <si>
    <r>
      <t>Дельта НР</t>
    </r>
    <r>
      <rPr>
        <b/>
        <sz val="9"/>
        <rFont val="Times New Roman"/>
        <family val="1"/>
      </rPr>
      <t>2013</t>
    </r>
  </si>
  <si>
    <r>
      <t>Дельта ПР</t>
    </r>
    <r>
      <rPr>
        <b/>
        <sz val="9"/>
        <rFont val="Times New Roman"/>
        <family val="1"/>
      </rPr>
      <t>2013</t>
    </r>
  </si>
  <si>
    <r>
      <t>Дельта ПО</t>
    </r>
    <r>
      <rPr>
        <b/>
        <sz val="8"/>
        <rFont val="Times New Roman"/>
        <family val="1"/>
      </rPr>
      <t>2013</t>
    </r>
  </si>
  <si>
    <r>
      <t xml:space="preserve">НВВ  </t>
    </r>
    <r>
      <rPr>
        <b/>
        <sz val="8"/>
        <rFont val="Times New Roman"/>
        <family val="1"/>
      </rPr>
      <t>2013</t>
    </r>
    <r>
      <rPr>
        <b/>
        <sz val="12"/>
        <rFont val="Times New Roman"/>
        <family val="1"/>
      </rPr>
      <t xml:space="preserve">, в том числе: </t>
    </r>
  </si>
  <si>
    <r>
      <t>Товарная выручка ТВ</t>
    </r>
    <r>
      <rPr>
        <b/>
        <sz val="8"/>
        <rFont val="Times New Roman"/>
        <family val="1"/>
      </rPr>
      <t xml:space="preserve">факт 2013 </t>
    </r>
  </si>
  <si>
    <t>Плановые показатели 2013 года</t>
  </si>
  <si>
    <t>Корректировка НВВ на 2015 год</t>
  </si>
  <si>
    <t>Корренктировка</t>
  </si>
  <si>
    <t>одноставочный тариф</t>
  </si>
  <si>
    <t>план 2015</t>
  </si>
  <si>
    <t>ЛЭП (КЛ+ВЛ)</t>
  </si>
  <si>
    <t>ВЛ/КЛ</t>
  </si>
  <si>
    <t>ТВ бух баланс 2013</t>
  </si>
  <si>
    <t xml:space="preserve">СС </t>
  </si>
  <si>
    <t>СС передачи</t>
  </si>
  <si>
    <t>1.3.2.1</t>
  </si>
  <si>
    <t xml:space="preserve"> 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</si>
  <si>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</si>
  <si>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</si>
  <si>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</si>
  <si>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</si>
  <si>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</si>
  <si>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</si>
  <si>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</si>
  <si>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</si>
  <si>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</si>
  <si>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</si>
  <si>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 xml:space="preserve">охрана труда и техника безопаасности </t>
  </si>
  <si>
    <t xml:space="preserve">охрана и пожарная безопасность </t>
  </si>
  <si>
    <t>1.3.9</t>
  </si>
  <si>
    <t>1.3.10</t>
  </si>
  <si>
    <t>план</t>
  </si>
  <si>
    <r>
      <t xml:space="preserve">ПО </t>
    </r>
    <r>
      <rPr>
        <b/>
        <sz val="8"/>
        <rFont val="Times New Roman"/>
        <family val="1"/>
      </rPr>
      <t>2015</t>
    </r>
    <r>
      <rPr>
        <b/>
        <sz val="12"/>
        <rFont val="Times New Roman"/>
        <family val="1"/>
      </rPr>
      <t xml:space="preserve">= (Эотп факт </t>
    </r>
    <r>
      <rPr>
        <b/>
        <sz val="8"/>
        <rFont val="Times New Roman"/>
        <family val="1"/>
      </rPr>
      <t>2013</t>
    </r>
    <r>
      <rPr>
        <b/>
        <sz val="12"/>
        <rFont val="Times New Roman"/>
        <family val="1"/>
      </rPr>
      <t xml:space="preserve"> - Э отп </t>
    </r>
    <r>
      <rPr>
        <b/>
        <sz val="8"/>
        <rFont val="Times New Roman"/>
        <family val="1"/>
      </rPr>
      <t>2013</t>
    </r>
    <r>
      <rPr>
        <b/>
        <sz val="12"/>
        <rFont val="Times New Roman"/>
        <family val="1"/>
      </rPr>
      <t xml:space="preserve">)*ЦП факт </t>
    </r>
    <r>
      <rPr>
        <b/>
        <sz val="8"/>
        <rFont val="Times New Roman"/>
        <family val="1"/>
      </rPr>
      <t>2013</t>
    </r>
    <r>
      <rPr>
        <b/>
        <sz val="12"/>
        <rFont val="Times New Roman"/>
        <family val="1"/>
      </rPr>
      <t xml:space="preserve">*N норматив потерь +Э отп </t>
    </r>
    <r>
      <rPr>
        <b/>
        <sz val="8"/>
        <rFont val="Times New Roman"/>
        <family val="1"/>
      </rPr>
      <t>2013</t>
    </r>
    <r>
      <rPr>
        <b/>
        <sz val="12"/>
        <rFont val="Times New Roman"/>
        <family val="1"/>
      </rPr>
      <t xml:space="preserve"> *(ЦП факт </t>
    </r>
    <r>
      <rPr>
        <b/>
        <sz val="8"/>
        <rFont val="Times New Roman"/>
        <family val="1"/>
      </rPr>
      <t xml:space="preserve">2013 </t>
    </r>
    <r>
      <rPr>
        <b/>
        <sz val="12"/>
        <rFont val="Times New Roman"/>
        <family val="1"/>
      </rPr>
      <t xml:space="preserve">- ЦП </t>
    </r>
    <r>
      <rPr>
        <b/>
        <sz val="8"/>
        <rFont val="Times New Roman"/>
        <family val="1"/>
      </rPr>
      <t>2013</t>
    </r>
    <r>
      <rPr>
        <b/>
        <sz val="12"/>
        <rFont val="Times New Roman"/>
        <family val="1"/>
      </rPr>
      <t xml:space="preserve">)*N норматив потерь </t>
    </r>
  </si>
  <si>
    <t>Фактический отпуск в сеть в 2013 году</t>
  </si>
  <si>
    <t>Фактический объем потерь в 2013 году (по фактической покупке)</t>
  </si>
  <si>
    <t>Регистр-расчет амортизации основных средств (бухгалтерский учет)</t>
  </si>
  <si>
    <t>Налогоплательщик: Открытое акционерное общество "Восход" - Калужский радиоламповый завод 
248009,г.Калуга,ул.Грабцевсское шоссе,43</t>
  </si>
  <si>
    <t>ОАО "Восход"-КРЛЗ</t>
  </si>
  <si>
    <t>Идентификационный номер налогоплательщика: 4026000108/402901001</t>
  </si>
  <si>
    <t>Период с 01.01.2013 по 31.12.2013</t>
  </si>
  <si>
    <t>Амортизационная группа:    Отв. лицо: Чудин  Петр  Васильевич</t>
  </si>
  <si>
    <t>Данные на 31.12.2013 23:59:59</t>
  </si>
  <si>
    <t>Код объекта</t>
  </si>
  <si>
    <t>Наименование объекта</t>
  </si>
  <si>
    <t>Первонач стоимость объекта</t>
  </si>
  <si>
    <t>Начисленная амортизация</t>
  </si>
  <si>
    <t>Остаточная стоимость</t>
  </si>
  <si>
    <t>Срок полез. исп. мес.</t>
  </si>
  <si>
    <t>Дата ввода в экспл</t>
  </si>
  <si>
    <t>Сумма амортизации объекта (БУ) гр3/гр6</t>
  </si>
  <si>
    <t>Прим</t>
  </si>
  <si>
    <t>Цех №3</t>
  </si>
  <si>
    <t>Амортизация ОС 23 счет (Энергетический)</t>
  </si>
  <si>
    <t xml:space="preserve">00000005 </t>
  </si>
  <si>
    <t>Фильтр.станция, проходная(у кор.1)-выб. территория з-да  прох-7.2004</t>
  </si>
  <si>
    <t>01.01.1972 0:00:00</t>
  </si>
  <si>
    <t>ЭНЕРГЕТИЧЕСКИЙ ЦЕХ №27</t>
  </si>
  <si>
    <t xml:space="preserve">00000003 </t>
  </si>
  <si>
    <t>Станция кислородно-компрессорная территория з-да б/н ж/б</t>
  </si>
  <si>
    <t>01.06.1962 0:00:00</t>
  </si>
  <si>
    <t xml:space="preserve">00000004 </t>
  </si>
  <si>
    <t xml:space="preserve">Котельная территория з-да  </t>
  </si>
  <si>
    <t xml:space="preserve">00000006 </t>
  </si>
  <si>
    <t>ГРП среднего давления территория з-да б/н ж/б</t>
  </si>
  <si>
    <t>01.06.1961 0:00:00</t>
  </si>
  <si>
    <t xml:space="preserve">00000007 </t>
  </si>
  <si>
    <t>ГРП высокого давления территория з-да б/н ж/б</t>
  </si>
  <si>
    <t>01.06.1963 0:00:00</t>
  </si>
  <si>
    <t xml:space="preserve">00000008 </t>
  </si>
  <si>
    <t xml:space="preserve">Холодильно-насосная станция территория з-да  </t>
  </si>
  <si>
    <t xml:space="preserve">00000009 </t>
  </si>
  <si>
    <t>Станция кислородно-водородная территория з-да б/н ж/б</t>
  </si>
  <si>
    <t xml:space="preserve">00000044 </t>
  </si>
  <si>
    <t xml:space="preserve">Резервуар подземный   </t>
  </si>
  <si>
    <t xml:space="preserve">00000045 </t>
  </si>
  <si>
    <t xml:space="preserve">00000046 </t>
  </si>
  <si>
    <t xml:space="preserve">00000047 </t>
  </si>
  <si>
    <t xml:space="preserve">00000050 </t>
  </si>
  <si>
    <t xml:space="preserve">Водонапорная башня   </t>
  </si>
  <si>
    <t xml:space="preserve">00000052 </t>
  </si>
  <si>
    <t>Градирня 3-х секционная  террит.з-да</t>
  </si>
  <si>
    <t xml:space="preserve">00000994 </t>
  </si>
  <si>
    <t>Станция центральная эл.часовая ЭЦС-3 б/н на 140час</t>
  </si>
  <si>
    <t>01.01.1961 0:00:00</t>
  </si>
  <si>
    <t xml:space="preserve">00001553 </t>
  </si>
  <si>
    <t>Холодильная установка ФУ 175/20 31 220/380В</t>
  </si>
  <si>
    <t xml:space="preserve">00001576 </t>
  </si>
  <si>
    <t>Насос центробежный 8НДВ 14 75 кВт.</t>
  </si>
  <si>
    <t xml:space="preserve">00001579 </t>
  </si>
  <si>
    <t>Насос центробежный 8НДВ 16 75 кВт.</t>
  </si>
  <si>
    <t xml:space="preserve">00001583 </t>
  </si>
  <si>
    <t>Насос центробежный 6НДВ 145 75 кВт.</t>
  </si>
  <si>
    <t xml:space="preserve">00001584 </t>
  </si>
  <si>
    <t>Насос центробежный 6НДС 444 75 кВт.</t>
  </si>
  <si>
    <t xml:space="preserve">00001585 </t>
  </si>
  <si>
    <t>Насос центробежный 6НДС 445 75 кВт.</t>
  </si>
  <si>
    <t xml:space="preserve">00001628 </t>
  </si>
  <si>
    <t>Рессевер фреоновый РФ-05 25 0,5 м3</t>
  </si>
  <si>
    <t xml:space="preserve">00001631 </t>
  </si>
  <si>
    <t>Кондиционер центральный КД-60 388 220/380В</t>
  </si>
  <si>
    <t xml:space="preserve">00001646 </t>
  </si>
  <si>
    <t>Кондиционер центральный КД-40 245 220/380В</t>
  </si>
  <si>
    <t xml:space="preserve">00001647 </t>
  </si>
  <si>
    <t>Кондиционер центральный КД-40 415 220/380В</t>
  </si>
  <si>
    <t xml:space="preserve">00001649 </t>
  </si>
  <si>
    <t>Кран мостовой ручной однобалочный Д-088 б/н Г/п-5т</t>
  </si>
  <si>
    <t>01.01.1965 0:00:00</t>
  </si>
  <si>
    <t xml:space="preserve">00001658 </t>
  </si>
  <si>
    <t>Кран-балка подвесная  508 1,7 кВт.</t>
  </si>
  <si>
    <t xml:space="preserve">00001659 </t>
  </si>
  <si>
    <t>Кран-балка подвесная  500 1,7 кВт.</t>
  </si>
  <si>
    <t xml:space="preserve">00001660 </t>
  </si>
  <si>
    <t>Кран мостовой ручной однобалочный ГОСТ 2075-54 79 3080 кг.</t>
  </si>
  <si>
    <t xml:space="preserve">00001915 </t>
  </si>
  <si>
    <t>Трансформатор силовой ТСЗВ-320 7283 320кВА</t>
  </si>
  <si>
    <t>01.01.1971 0:00:00</t>
  </si>
  <si>
    <t xml:space="preserve">00001916 </t>
  </si>
  <si>
    <t>Трансформатор силовой ТСЗВ-320 7280 320кВА</t>
  </si>
  <si>
    <t xml:space="preserve">00001917 </t>
  </si>
  <si>
    <t>Трансформатор силовой ТСЗВ-320 3699 320кВА</t>
  </si>
  <si>
    <t xml:space="preserve">00001919 </t>
  </si>
  <si>
    <t>Трансформатор силовой ТАМ-750/10 38112 750кВА</t>
  </si>
  <si>
    <t xml:space="preserve">00001920 </t>
  </si>
  <si>
    <t>Трансформатор силовой ТАМ-1000/6 1522 1000кВА</t>
  </si>
  <si>
    <t xml:space="preserve">00001921 </t>
  </si>
  <si>
    <t>Трансформатор силовой ТАМ-1000/6 1336 1000кВА</t>
  </si>
  <si>
    <t xml:space="preserve">00001922 </t>
  </si>
  <si>
    <t>Трансформатор силовой ТАМ-1000/6 1510 1000кВА</t>
  </si>
  <si>
    <t xml:space="preserve">00001923 </t>
  </si>
  <si>
    <t>Трансформатор силовой ТАМ-1000/6 1559 1000кВА</t>
  </si>
  <si>
    <t xml:space="preserve">00001924 </t>
  </si>
  <si>
    <t>Трансформатор силовой ТСМ-560/6 2214 560кВА</t>
  </si>
  <si>
    <t xml:space="preserve">00001926 </t>
  </si>
  <si>
    <t>Трансформатор силовой ТСМ-560/6 2715 560кВА</t>
  </si>
  <si>
    <t xml:space="preserve">00001966 </t>
  </si>
  <si>
    <t>Эл.щит силовой ЩО-59 32117 600А</t>
  </si>
  <si>
    <t>01.01.1962 0:00:00</t>
  </si>
  <si>
    <t xml:space="preserve">00001967 </t>
  </si>
  <si>
    <t>Эл.щит силовой ЩО-59 304 600А</t>
  </si>
  <si>
    <t xml:space="preserve">00001969 </t>
  </si>
  <si>
    <t>Эл.щит силовой ЩО-59 1416 600А</t>
  </si>
  <si>
    <t xml:space="preserve">00001970 </t>
  </si>
  <si>
    <t>Эл.щит силовой ЩО-59 1447 600А</t>
  </si>
  <si>
    <t xml:space="preserve">00001971 </t>
  </si>
  <si>
    <t>Эл.щит силовой ЩО-59 1441 600А</t>
  </si>
  <si>
    <t xml:space="preserve">00001984 </t>
  </si>
  <si>
    <t>Солерастворитель ДУ-600 1014 0,25 м3</t>
  </si>
  <si>
    <t xml:space="preserve">00001987 </t>
  </si>
  <si>
    <t>Станок вертикально-сверлильный 2Б118 292272 1,5кВт</t>
  </si>
  <si>
    <t xml:space="preserve">00002031 </t>
  </si>
  <si>
    <t>Станок токарно-винторезный I-K-62 619980 7,5кВт</t>
  </si>
  <si>
    <t xml:space="preserve">00002077 </t>
  </si>
  <si>
    <t>Станок вертикально-сверлильный 2Б118 305 1,7кВт</t>
  </si>
  <si>
    <t>01.01.1963 0:00:00</t>
  </si>
  <si>
    <t xml:space="preserve">00002078 </t>
  </si>
  <si>
    <t>Станок вертикально-сверлильный 2Б118 315 1,7кВт</t>
  </si>
  <si>
    <t xml:space="preserve">00002090 </t>
  </si>
  <si>
    <t>Станок вертикально-сверлильный 2А135 27601 4кВт</t>
  </si>
  <si>
    <t xml:space="preserve">00002094 </t>
  </si>
  <si>
    <t>Станок вертикально-сверлильный 2А-135 27539 4кВт</t>
  </si>
  <si>
    <t xml:space="preserve">00002138 </t>
  </si>
  <si>
    <t>Вертикально-фрезерный станок ЕА 2 169082 960 кг.</t>
  </si>
  <si>
    <t xml:space="preserve">00007802 </t>
  </si>
  <si>
    <t>Станция компрессорная территория з-да б/н ж/б</t>
  </si>
  <si>
    <t>01.12.1973 0:00:00</t>
  </si>
  <si>
    <t xml:space="preserve">00008299 </t>
  </si>
  <si>
    <t>Частотомер электронносчетный Ч3-33 ЛО50083 45Вт</t>
  </si>
  <si>
    <t>01.07.1972 0:00:00</t>
  </si>
  <si>
    <t xml:space="preserve">00008913 </t>
  </si>
  <si>
    <t>Станок трубогибочный ВМС-23В 73 1,8кВт</t>
  </si>
  <si>
    <t>01.05.1972 0:00:00</t>
  </si>
  <si>
    <t xml:space="preserve">00008954 </t>
  </si>
  <si>
    <t>Настольно-сверлильный станок 2М112 2676 120 кг.</t>
  </si>
  <si>
    <t>01.02.1972 0:00:00</t>
  </si>
  <si>
    <t xml:space="preserve">00008980 </t>
  </si>
  <si>
    <t>Нейтролизатор территория з-да б/н ж/б</t>
  </si>
  <si>
    <t xml:space="preserve">00009816 </t>
  </si>
  <si>
    <t>Трансформатор силовой  13997 320кВА</t>
  </si>
  <si>
    <t>01.06.1973 0:00:00</t>
  </si>
  <si>
    <t xml:space="preserve">00009823 </t>
  </si>
  <si>
    <t>Трансформатор силовой ТМ1000/6 10946 1000кВА</t>
  </si>
  <si>
    <t xml:space="preserve">00010099 </t>
  </si>
  <si>
    <t>Станция административной связи Темп-40 671 220В 50Гц</t>
  </si>
  <si>
    <t>01.11.1973 0:00:00</t>
  </si>
  <si>
    <t xml:space="preserve">00010204 </t>
  </si>
  <si>
    <t>Кондиционер КТ-40 3241 220/380В</t>
  </si>
  <si>
    <t xml:space="preserve">00010205 </t>
  </si>
  <si>
    <t>Кондиционер КТ-40 3237 220/380В</t>
  </si>
  <si>
    <t xml:space="preserve">00010976 </t>
  </si>
  <si>
    <t>Шкаф управления А-719 8563 380/220В</t>
  </si>
  <si>
    <t>01.08.1974 0:00:00</t>
  </si>
  <si>
    <t xml:space="preserve">00010977 </t>
  </si>
  <si>
    <t>Холодильный агрегат ХА-8ФУУ-350-800 351 220/380В</t>
  </si>
  <si>
    <t>16.08.1974 0:00:00</t>
  </si>
  <si>
    <t xml:space="preserve">00011093 </t>
  </si>
  <si>
    <t>Трансформатор силовой ТС3В-320/7 10616 320кВА</t>
  </si>
  <si>
    <t>01.03.1972 0:00:00</t>
  </si>
  <si>
    <t xml:space="preserve">00011503 </t>
  </si>
  <si>
    <t>Панели блоков питания ЭПП-543-67 32345 380В 1200</t>
  </si>
  <si>
    <t>01.12.1974 0:00:00</t>
  </si>
  <si>
    <t xml:space="preserve">00011504 </t>
  </si>
  <si>
    <t>Панели блоков питания ЭПП-543-67 б/н 380В 1200</t>
  </si>
  <si>
    <t xml:space="preserve">00012283 </t>
  </si>
  <si>
    <t>Шкаф вытяжной Ш-1М 5991 220/380в</t>
  </si>
  <si>
    <t>01.09.1975 0:00:00</t>
  </si>
  <si>
    <t xml:space="preserve">00012600 </t>
  </si>
  <si>
    <t xml:space="preserve">Вальцы гибочные  1 </t>
  </si>
  <si>
    <t>01.12.1975 0:00:00</t>
  </si>
  <si>
    <t xml:space="preserve">00012608 </t>
  </si>
  <si>
    <t>Точильно-шлифовальный станок 3Б 634 38820 425 кг.</t>
  </si>
  <si>
    <t xml:space="preserve">00012610 </t>
  </si>
  <si>
    <t>Рессивер 20 м3 ЕП-4127 1089 13кГ/см2</t>
  </si>
  <si>
    <t xml:space="preserve">00012611 </t>
  </si>
  <si>
    <t>Рессивер 20 м3 ЕП-4127 1090 13кГ/см2</t>
  </si>
  <si>
    <t xml:space="preserve">00012617 </t>
  </si>
  <si>
    <t>Кран мостовой  1195 Г/п-10т</t>
  </si>
  <si>
    <t xml:space="preserve">00013054 </t>
  </si>
  <si>
    <t xml:space="preserve">Уст-ка оперативной связи Псков-2 1164 </t>
  </si>
  <si>
    <t>01.03.1976 0:00:00</t>
  </si>
  <si>
    <t xml:space="preserve">00013058 </t>
  </si>
  <si>
    <t>Рессивер ЕП-4127 920 V=20 м3</t>
  </si>
  <si>
    <t xml:space="preserve">00013059 </t>
  </si>
  <si>
    <t>Рессивер ЕП-4127 965 V=20 м3</t>
  </si>
  <si>
    <t xml:space="preserve">00013060 </t>
  </si>
  <si>
    <t>Рессивер ЕП-4127 966 V=20 м3</t>
  </si>
  <si>
    <t xml:space="preserve">00013977 </t>
  </si>
  <si>
    <t>Рессивер  1526 V=20 м3</t>
  </si>
  <si>
    <t>01.08.1976 0:00:00</t>
  </si>
  <si>
    <t xml:space="preserve">00013978 </t>
  </si>
  <si>
    <t>Рессивер  1533 V=20 м3</t>
  </si>
  <si>
    <t xml:space="preserve">00013979 </t>
  </si>
  <si>
    <t>Рессивер  1719 V=20 м3</t>
  </si>
  <si>
    <t xml:space="preserve">00014364 </t>
  </si>
  <si>
    <t>Холодильная установка ХМ 22ФУУ 400/2-4 б/н 220/380В</t>
  </si>
  <si>
    <t>01.12.1976 0:00:00</t>
  </si>
  <si>
    <t xml:space="preserve">00014609 </t>
  </si>
  <si>
    <t>Машина листогибочная И-2ПЧ 1580 2000 т.</t>
  </si>
  <si>
    <t xml:space="preserve">00014766 </t>
  </si>
  <si>
    <t>Устр-во телефонноетивной связи Элетап 3187 220В 50Гц</t>
  </si>
  <si>
    <t>01.02.1977 0:00:00</t>
  </si>
  <si>
    <t xml:space="preserve">00015630 </t>
  </si>
  <si>
    <t>Кондиционер КТ-40 2675 22кВт</t>
  </si>
  <si>
    <t>01.04.1977 0:00:00</t>
  </si>
  <si>
    <t xml:space="preserve">00015755 </t>
  </si>
  <si>
    <t>Известигасилка СМ-12-47 б/н 2,2 кВт.</t>
  </si>
  <si>
    <t>01.06.1977 0:00:00</t>
  </si>
  <si>
    <t xml:space="preserve">00015883 </t>
  </si>
  <si>
    <t>Весы аналитические ВС-21 118330 до 1кГ</t>
  </si>
  <si>
    <t>01.08.1977 0:00:00</t>
  </si>
  <si>
    <t xml:space="preserve">00016091 </t>
  </si>
  <si>
    <t xml:space="preserve">Конденсатор теристорный ТК-300-380у3 б/н </t>
  </si>
  <si>
    <t>01.10.1977 0:00:00</t>
  </si>
  <si>
    <t xml:space="preserve">00016205 </t>
  </si>
  <si>
    <t>Сигнализатор СВК-3М1 5851 1000/10кВт</t>
  </si>
  <si>
    <t>01.12.1977 0:00:00</t>
  </si>
  <si>
    <t xml:space="preserve">00016269 </t>
  </si>
  <si>
    <t xml:space="preserve">Эл.щит автоматиз. и сигнализации К-207 3225 </t>
  </si>
  <si>
    <t xml:space="preserve">00016271 </t>
  </si>
  <si>
    <t>Уст-ка конденсаторная УК-038 7010 240кВ</t>
  </si>
  <si>
    <t xml:space="preserve">00016680 </t>
  </si>
  <si>
    <t xml:space="preserve">Дистанционный измеритель t и влажности СГТВ1В-1 б/н </t>
  </si>
  <si>
    <t>01.04.1978 0:00:00</t>
  </si>
  <si>
    <t xml:space="preserve">00016928 </t>
  </si>
  <si>
    <t>Прибор КСМ-2030И 35867 220В 50Гц</t>
  </si>
  <si>
    <t>01.06.1978 0:00:00</t>
  </si>
  <si>
    <t xml:space="preserve">00016929 </t>
  </si>
  <si>
    <t>Прибор КСП2-037 8051970 220В 50Гц</t>
  </si>
  <si>
    <t xml:space="preserve">00017014 </t>
  </si>
  <si>
    <t xml:space="preserve">Шкаф КНТП-1000 3675 </t>
  </si>
  <si>
    <t xml:space="preserve">00017015 </t>
  </si>
  <si>
    <t xml:space="preserve">Шкаф КНТП-1000 3678 </t>
  </si>
  <si>
    <t xml:space="preserve">00017021 </t>
  </si>
  <si>
    <t>Кондиционер КТ-60 2473 30 кВт.</t>
  </si>
  <si>
    <t xml:space="preserve">00017022 </t>
  </si>
  <si>
    <t>Кондиционер КТ-60 2476 30 кВт.</t>
  </si>
  <si>
    <t xml:space="preserve">00017154 </t>
  </si>
  <si>
    <t>Трансформатор силовой ТМ1000/10 6160 1000кВт</t>
  </si>
  <si>
    <t>01.07.1978 0:00:00</t>
  </si>
  <si>
    <t xml:space="preserve">00017155 </t>
  </si>
  <si>
    <t>Механизм гибки фланцев ТВМ 3.112.003ПС 1 220/380В</t>
  </si>
  <si>
    <t xml:space="preserve">00017509 </t>
  </si>
  <si>
    <t>Прибор - счетчик аэрозольных частиц АЗ-5 б/н 220В 50Гц</t>
  </si>
  <si>
    <t>01.10.1978 0:00:00</t>
  </si>
  <si>
    <t xml:space="preserve">00017539 </t>
  </si>
  <si>
    <t>Мост КСМ-2 Гр-21 8075028 220В 50Гц</t>
  </si>
  <si>
    <t>01.11.1978 0:00:00</t>
  </si>
  <si>
    <t xml:space="preserve">00017763 </t>
  </si>
  <si>
    <t>Мешалка пропеллерная  б/н 380В</t>
  </si>
  <si>
    <t>01.12.1978 0:00:00</t>
  </si>
  <si>
    <t xml:space="preserve">00017764 </t>
  </si>
  <si>
    <t xml:space="preserve">00017765 </t>
  </si>
  <si>
    <t xml:space="preserve">00017766 </t>
  </si>
  <si>
    <t xml:space="preserve">00017786 </t>
  </si>
  <si>
    <t>Подстанция трансформаторная КТПН 153771 6кВт</t>
  </si>
  <si>
    <t xml:space="preserve">00017788 </t>
  </si>
  <si>
    <t>Рессивер емкости водородной станции  2161 V-20 м3</t>
  </si>
  <si>
    <t xml:space="preserve">00017797 </t>
  </si>
  <si>
    <t>Рессивер емкости водородной станции  193 V-20 м3</t>
  </si>
  <si>
    <t xml:space="preserve">00017798 </t>
  </si>
  <si>
    <t>Рессивер емкости водородной станции  238 V-20 м3</t>
  </si>
  <si>
    <t xml:space="preserve">00017835 </t>
  </si>
  <si>
    <t xml:space="preserve">Станция очистки   </t>
  </si>
  <si>
    <t>01.12.1979 0:00:00</t>
  </si>
  <si>
    <t xml:space="preserve">00017916 </t>
  </si>
  <si>
    <t>Вакуум-фильтр БОКС-1,75 б/н 220В</t>
  </si>
  <si>
    <t>01.01.1978 0:00:00</t>
  </si>
  <si>
    <t xml:space="preserve">00017921 </t>
  </si>
  <si>
    <t>Котел паровой ДКВР-2,5 6429 2,5кг/час</t>
  </si>
  <si>
    <t>01.01.1979 0:00:00</t>
  </si>
  <si>
    <t xml:space="preserve">00017924 </t>
  </si>
  <si>
    <t xml:space="preserve">00017927 </t>
  </si>
  <si>
    <t>Реактор 204-2018 б/н 2000 лит.</t>
  </si>
  <si>
    <t xml:space="preserve">00017928 </t>
  </si>
  <si>
    <t xml:space="preserve">00017944 </t>
  </si>
  <si>
    <t>Перемешиватель ПМТ-20 б/н 5,5 кВт.</t>
  </si>
  <si>
    <t xml:space="preserve">00017945 </t>
  </si>
  <si>
    <t xml:space="preserve">00017946 </t>
  </si>
  <si>
    <t xml:space="preserve">00017947 </t>
  </si>
  <si>
    <t xml:space="preserve">00017993 </t>
  </si>
  <si>
    <t>Насос ВВН-3 б/н 6,7кВт</t>
  </si>
  <si>
    <t>01.02.1979 0:00:00</t>
  </si>
  <si>
    <t xml:space="preserve">00018018 </t>
  </si>
  <si>
    <t>Трансформатор силовой ТМ-1000/10 7470 1000кВт</t>
  </si>
  <si>
    <t xml:space="preserve">00018081 </t>
  </si>
  <si>
    <t>Весы аналитические ВЛР-200 б/н до 10кГ</t>
  </si>
  <si>
    <t>01.03.1979 0:00:00</t>
  </si>
  <si>
    <t xml:space="preserve">00018096 </t>
  </si>
  <si>
    <t>Конвейер винтовой  б/н 220/380в</t>
  </si>
  <si>
    <t xml:space="preserve">00018223 </t>
  </si>
  <si>
    <t xml:space="preserve">Пульт управления  8 </t>
  </si>
  <si>
    <t>01.04.1979 0:00:00</t>
  </si>
  <si>
    <t xml:space="preserve">00018224 </t>
  </si>
  <si>
    <t xml:space="preserve">Пульт управления  10 </t>
  </si>
  <si>
    <t xml:space="preserve">00018226 </t>
  </si>
  <si>
    <t>Кондиционер КТ-80 17481 220/380В</t>
  </si>
  <si>
    <t xml:space="preserve">00018230 </t>
  </si>
  <si>
    <t>Дозатор известкового молока  б/н 220/380В</t>
  </si>
  <si>
    <t xml:space="preserve">00018231 </t>
  </si>
  <si>
    <t>Бак коктейнерный  б/н 220/380В</t>
  </si>
  <si>
    <t xml:space="preserve">00018233 </t>
  </si>
  <si>
    <t>Рессавер ловушка  б/н 220/380В</t>
  </si>
  <si>
    <t xml:space="preserve">00018244 </t>
  </si>
  <si>
    <t>Прибор СУФ-42 б/н 220В 50Гц</t>
  </si>
  <si>
    <t xml:space="preserve">00018261 </t>
  </si>
  <si>
    <t xml:space="preserve">Щит управления ЩУ 1 </t>
  </si>
  <si>
    <t xml:space="preserve">00018262 </t>
  </si>
  <si>
    <t xml:space="preserve">Щит управления ЩУ 2 </t>
  </si>
  <si>
    <t xml:space="preserve">00018985 </t>
  </si>
  <si>
    <t>Кондиционер КТ-60 1573 40 кВт.</t>
  </si>
  <si>
    <t>01.10.1979 0:00:00</t>
  </si>
  <si>
    <t xml:space="preserve">00018986 </t>
  </si>
  <si>
    <t>Кондиционер КТ-60 2237 40 кВт.</t>
  </si>
  <si>
    <t xml:space="preserve">00018987 </t>
  </si>
  <si>
    <t>Насос 300 Д/90 4581 100кВт</t>
  </si>
  <si>
    <t xml:space="preserve">00018988 </t>
  </si>
  <si>
    <t>Насос 300 Д/90 7789 100кВт</t>
  </si>
  <si>
    <t xml:space="preserve">00018989 </t>
  </si>
  <si>
    <t>Кондиционер КТ-40 1764 22кВт</t>
  </si>
  <si>
    <t xml:space="preserve">00019224 </t>
  </si>
  <si>
    <t>Кран подвесной электрический одноблочн 6,6-6,0-12-380 78092 2,6кВт</t>
  </si>
  <si>
    <t xml:space="preserve">00019225 </t>
  </si>
  <si>
    <t>Кран подвесной электрический одноблочн 2-42-3-12-380 54345 2,6кВт</t>
  </si>
  <si>
    <t xml:space="preserve">00019226 </t>
  </si>
  <si>
    <t>Кран подвесной электрический одноблочн 2-42-3-12-380 55772 2,6кВт</t>
  </si>
  <si>
    <t xml:space="preserve">00019501 </t>
  </si>
  <si>
    <t>Уст-ка низковольтная конденсаторная ТП-1 б/н 70кВА</t>
  </si>
  <si>
    <t>01.05.1980 0:00:00</t>
  </si>
  <si>
    <t xml:space="preserve">00019502 </t>
  </si>
  <si>
    <t>Уст-ка низковольтная конденсаторная ТП-2 б/н 240кВ</t>
  </si>
  <si>
    <t xml:space="preserve">00019740 </t>
  </si>
  <si>
    <t>Прибор КСП-2-0-50мв 056033 220В 50Гц</t>
  </si>
  <si>
    <t>01.09.1980 0:00:00</t>
  </si>
  <si>
    <t xml:space="preserve">00019742 </t>
  </si>
  <si>
    <t>Прибор КСП-2-0-50мв 056013 220В 50Гц</t>
  </si>
  <si>
    <t xml:space="preserve">00019827 </t>
  </si>
  <si>
    <t>Ионометр ЭВ-74 1571 до 15кГ</t>
  </si>
  <si>
    <t xml:space="preserve">00019955 </t>
  </si>
  <si>
    <t>Подстанция трансформаторная КТП 4732 6кВт</t>
  </si>
  <si>
    <t>01.11.1980 0:00:00</t>
  </si>
  <si>
    <t xml:space="preserve">00019956 </t>
  </si>
  <si>
    <t>Подстанция трансформаторная КТП 3745 6кВт</t>
  </si>
  <si>
    <t xml:space="preserve">00019957 </t>
  </si>
  <si>
    <t>Трансформатор силовой ТМ-400/6 757274 400кВт</t>
  </si>
  <si>
    <t xml:space="preserve">00020400 </t>
  </si>
  <si>
    <t>Частотомер электронносчетный Ч3-33 б/н К=0,15</t>
  </si>
  <si>
    <t>01.02.1981 0:00:00</t>
  </si>
  <si>
    <t xml:space="preserve">00020401 </t>
  </si>
  <si>
    <t xml:space="preserve">00020813 </t>
  </si>
  <si>
    <t>Двигатель АОЗ-4009 191703 250 кВт.</t>
  </si>
  <si>
    <t>01.08.1981 0:00:00</t>
  </si>
  <si>
    <t xml:space="preserve">00021020 </t>
  </si>
  <si>
    <t>Колориметр однолучевой фотоэлектрическ КОФ 813383 220/380В</t>
  </si>
  <si>
    <t>01.11.1981 0:00:00</t>
  </si>
  <si>
    <t xml:space="preserve">00021021 </t>
  </si>
  <si>
    <t>Колориметр однолучевой фотоэлектрическ КОФ 812982 220/380В</t>
  </si>
  <si>
    <t xml:space="preserve">00021622 </t>
  </si>
  <si>
    <t>Частотомер Ч3-34А УО1725 220В 50Гц</t>
  </si>
  <si>
    <t>01.04.1982 0:00:00</t>
  </si>
  <si>
    <t xml:space="preserve">00021708 </t>
  </si>
  <si>
    <t>Станок точильно-шлифовальный 3Б-633 69533 2,1кВт</t>
  </si>
  <si>
    <t xml:space="preserve">00021871 </t>
  </si>
  <si>
    <t>Кондиционер КТ-40 б/н 22кВт</t>
  </si>
  <si>
    <t>01.06.1982 0:00:00</t>
  </si>
  <si>
    <t xml:space="preserve">00022211 </t>
  </si>
  <si>
    <t>Калориметр однолучевой КФО 8221189 220В 50Гц</t>
  </si>
  <si>
    <t>01.10.1982 0:00:00</t>
  </si>
  <si>
    <t xml:space="preserve">00022433 </t>
  </si>
  <si>
    <t>Кран-балка  2132 Г/п-1т</t>
  </si>
  <si>
    <t>01.12.1982 0:00:00</t>
  </si>
  <si>
    <t xml:space="preserve">00022651 </t>
  </si>
  <si>
    <t>Выпрямитель сварочный ВД-306 2907 17кВт</t>
  </si>
  <si>
    <t>01.03.1983 0:00:00</t>
  </si>
  <si>
    <t xml:space="preserve">00022799 </t>
  </si>
  <si>
    <t>Станок рядовой намотки  42 350А</t>
  </si>
  <si>
    <t>01.04.1983 0:00:00</t>
  </si>
  <si>
    <t xml:space="preserve">00022916 </t>
  </si>
  <si>
    <t>Станок рядовой намотки ПР-159м 4552 350А</t>
  </si>
  <si>
    <t>01.06.1983 0:00:00</t>
  </si>
  <si>
    <t xml:space="preserve">00023085 </t>
  </si>
  <si>
    <t>Холодильник Чинар б/н 220/380В</t>
  </si>
  <si>
    <t>01.08.1983 0:00:00</t>
  </si>
  <si>
    <t xml:space="preserve">00023302 </t>
  </si>
  <si>
    <t>Мост сопротивления КСМ-4 26625 220В 50Гц</t>
  </si>
  <si>
    <t>01.09.1983 0:00:00</t>
  </si>
  <si>
    <t xml:space="preserve">00023303 </t>
  </si>
  <si>
    <t>Мост сопротивления КСМ-4 30350 220В 50Гц</t>
  </si>
  <si>
    <t xml:space="preserve">00023360 </t>
  </si>
  <si>
    <t>Кондиционер КТЦ-80 2113 220/380В</t>
  </si>
  <si>
    <t xml:space="preserve">00023361 </t>
  </si>
  <si>
    <t>Кондиционер КТЦ-80 2119 220/380В</t>
  </si>
  <si>
    <t xml:space="preserve">00023913 </t>
  </si>
  <si>
    <t>Частотомер Ч3-34 07604 220В 50Гц</t>
  </si>
  <si>
    <t>01.02.1984 0:00:00</t>
  </si>
  <si>
    <t xml:space="preserve">00024413 </t>
  </si>
  <si>
    <t>Эл.щит ИСА-2 00464/10 380/220В</t>
  </si>
  <si>
    <t>01.06.1984 0:00:00</t>
  </si>
  <si>
    <t xml:space="preserve">00024414 </t>
  </si>
  <si>
    <t xml:space="preserve">00024669 </t>
  </si>
  <si>
    <t>Рампа кислородная КЕ6801000 2х10 20мПА</t>
  </si>
  <si>
    <t>01.08.1984 0:00:00</t>
  </si>
  <si>
    <t xml:space="preserve">00024856 </t>
  </si>
  <si>
    <t>Венитилятор Ц14-46 6242 5кВт.</t>
  </si>
  <si>
    <t>01.12.1984 0:00:00</t>
  </si>
  <si>
    <t xml:space="preserve">00024857 </t>
  </si>
  <si>
    <t xml:space="preserve">00024863 </t>
  </si>
  <si>
    <t>Аппарат точечной сварки АТС-90/АХ 5 0,5кВт</t>
  </si>
  <si>
    <t xml:space="preserve">00025137 </t>
  </si>
  <si>
    <t xml:space="preserve">Камера КСО-272-84-55 64956 </t>
  </si>
  <si>
    <t xml:space="preserve">00025138 </t>
  </si>
  <si>
    <t xml:space="preserve">Целевые средства на НИОКР                        </t>
  </si>
  <si>
    <t xml:space="preserve">Средства на страхование                          </t>
  </si>
  <si>
    <t xml:space="preserve">- налог на землю                                  </t>
  </si>
  <si>
    <t xml:space="preserve">Арендная плата                                   </t>
  </si>
  <si>
    <t xml:space="preserve">Покупная энергия                                  </t>
  </si>
  <si>
    <t>10.1.</t>
  </si>
  <si>
    <t xml:space="preserve">Относимая на условно-постоянные расходы          </t>
  </si>
  <si>
    <t>10.2.</t>
  </si>
  <si>
    <t xml:space="preserve">Относимая на переменные расходы                  </t>
  </si>
  <si>
    <t xml:space="preserve">Недополученный по независящим причинам доход     </t>
  </si>
  <si>
    <t xml:space="preserve">Итого производственные расходы                   </t>
  </si>
  <si>
    <t xml:space="preserve">Полезный отпуск теплоэнергии, тыс. Гкал          </t>
  </si>
  <si>
    <t xml:space="preserve">- топливная составляющая                         </t>
  </si>
  <si>
    <t xml:space="preserve">- покупная теплоэнергия                          </t>
  </si>
  <si>
    <t xml:space="preserve">Условно-постоянные расходы, в том числе:         </t>
  </si>
  <si>
    <t xml:space="preserve">По источникам энергии                            </t>
  </si>
  <si>
    <t>16.2.</t>
  </si>
  <si>
    <t xml:space="preserve">По сетям                                         </t>
  </si>
  <si>
    <t>16.3.</t>
  </si>
  <si>
    <t xml:space="preserve">Сумма общехозяйственных расходов                 </t>
  </si>
  <si>
    <t>Калькуляция расходов, связанных с производством и передачей тепловой энергии</t>
  </si>
  <si>
    <t>Дополнительная   оплата   труда   производственных рабочих</t>
  </si>
  <si>
    <t xml:space="preserve">Отчисления на соц. нужды с оплаты производственных рабочих  </t>
  </si>
  <si>
    <t>Расходы по содержанию и эксплуатации оборудования, в том числе:</t>
  </si>
  <si>
    <t>другие  расходы   по   содержанию  и  эксплуатации оборудования</t>
  </si>
  <si>
    <t xml:space="preserve">Расходы  по  подготовке  и  освоению  производства (пусковые работы) </t>
  </si>
  <si>
    <t xml:space="preserve"> Таблица П1.4</t>
  </si>
  <si>
    <t>Плата  за  предельно  допустимые  выбросы (сбросы) загрязняющих веществ</t>
  </si>
  <si>
    <t xml:space="preserve">Отчисления  в   ремонтный   фонд    в  случае  его формирования   </t>
  </si>
  <si>
    <t>Непроизводственные    расходы   (налоги  и  другие обязательные платежи и сборы) всего, в том числе:</t>
  </si>
  <si>
    <t>Другие   затраты,   относимые   на   себестоимость продукции всего, в том числе:</t>
  </si>
  <si>
    <t>Избыток средств, полученный в предыдущем   периоде регулирования</t>
  </si>
  <si>
    <t xml:space="preserve">Удельные расходы, руб./Гкал                    из них                      </t>
  </si>
  <si>
    <t xml:space="preserve">переменная составляющая,       в том числе                    </t>
  </si>
  <si>
    <t>1.19</t>
  </si>
  <si>
    <t>раб</t>
  </si>
  <si>
    <t>Консультант Плюс: примечание:    Нумерация пунктов дана в соответствии с официальным текстом документа.</t>
  </si>
  <si>
    <t>Таблица N П1.19.1</t>
  </si>
  <si>
    <t>1.19.1</t>
  </si>
  <si>
    <t>Топливо на технологические цели, всего:</t>
  </si>
  <si>
    <t xml:space="preserve">Вода на технологические цели          </t>
  </si>
  <si>
    <t xml:space="preserve">отчисления в ремонтный фонд            </t>
  </si>
  <si>
    <t xml:space="preserve">Цеховые расходы                       </t>
  </si>
  <si>
    <t xml:space="preserve">Целевые средства на НИОКР             </t>
  </si>
  <si>
    <t xml:space="preserve">Средства на страхование               </t>
  </si>
  <si>
    <t xml:space="preserve">- налог на землю                      </t>
  </si>
  <si>
    <t>2010г.</t>
  </si>
  <si>
    <t>Период   регулирования  Заявитель 2011</t>
  </si>
  <si>
    <t>Период регулирования  Эксперты 2011</t>
  </si>
  <si>
    <t>Период регулирования Заявитель 2011</t>
  </si>
  <si>
    <t>Период регулирования Экспертиза 2011</t>
  </si>
  <si>
    <t>эксперты 2011</t>
  </si>
  <si>
    <t>Заявитель 2011</t>
  </si>
  <si>
    <t>Базовый период 2010г.</t>
  </si>
  <si>
    <t>Период  регулирования Заявитель 2011</t>
  </si>
  <si>
    <t>Индексная модель ФТС на 2011</t>
  </si>
  <si>
    <t>Период регулирования  Заявитель 2011</t>
  </si>
  <si>
    <t>Период регулирования  Экспертиза 2011</t>
  </si>
  <si>
    <t xml:space="preserve">Арендная плата                        </t>
  </si>
  <si>
    <t xml:space="preserve">Итого производственные расходы        </t>
  </si>
  <si>
    <t xml:space="preserve">14.   </t>
  </si>
  <si>
    <t xml:space="preserve">- топливная составляющая              </t>
  </si>
  <si>
    <t xml:space="preserve">15.   </t>
  </si>
  <si>
    <t xml:space="preserve">15.1. </t>
  </si>
  <si>
    <t xml:space="preserve">Сумма общехозяйственных расходов      </t>
  </si>
  <si>
    <t>Калькуляция расходов, связанных с производством тепловой энергии</t>
  </si>
  <si>
    <t xml:space="preserve">Основная оплата труда  производственных рабочих </t>
  </si>
  <si>
    <t>Дополнительная оплата труда производственных забочих</t>
  </si>
  <si>
    <t>Отчисления  на  соц.  нужды  с   оплаты производственных рабочих</t>
  </si>
  <si>
    <t>расходы по  содержанию  и  эксплуатации оборудования,  в том числе:</t>
  </si>
  <si>
    <t xml:space="preserve">амортизация производственного оборудования </t>
  </si>
  <si>
    <t>другие расходы по содержанию и эксплуатации оборудования</t>
  </si>
  <si>
    <t>Расходы   по   подготовке   и  освоению производства (пусковые работы)</t>
  </si>
  <si>
    <t>Общехозяйственные расходы всего, в  том числе:</t>
  </si>
  <si>
    <t xml:space="preserve">Плата за предельно допустимые   выбросы (сбросы) загрязняющих веществ </t>
  </si>
  <si>
    <t>из них  расходы на сбыт</t>
  </si>
  <si>
    <t xml:space="preserve">Плата за услуги на содержание электрических сетей по диапазонам напряжения в расчете на 1 МВт согласно формулам (31) - (33)  </t>
  </si>
  <si>
    <t xml:space="preserve">Плата за услуги на содержание электрических сетей по диапазонам напряжения в расчете на 1 МВт.ч согласно формулам (34) - (36) </t>
  </si>
  <si>
    <t>Отчисления в ремонтный  фонд  в  случае его формирования</t>
  </si>
  <si>
    <t>Непроизводственные  расходы  (налоги  и другие  обязательные  платежи  и сборы) всего,  в том числе:</t>
  </si>
  <si>
    <t xml:space="preserve">Другие    затраты,     относимые     на себестоимость продукции  всего,  в  том числе: </t>
  </si>
  <si>
    <t xml:space="preserve">Недополученный по независящим  причинам доход </t>
  </si>
  <si>
    <t>Отпуск   теплоэнергии  с   коллекторов, тыс. Гкал</t>
  </si>
  <si>
    <t xml:space="preserve">Удельные расходы, руб./Гкал.,  в том числе:       </t>
  </si>
  <si>
    <t xml:space="preserve">Условно-постоянные    расходы,   в  том числе: </t>
  </si>
  <si>
    <t>Таблица N П1.19.2</t>
  </si>
  <si>
    <t>Калькуляция расходов, по передаче тепловой энергии</t>
  </si>
  <si>
    <t xml:space="preserve">1.2. </t>
  </si>
  <si>
    <t xml:space="preserve">- потерь тепловой энергии                     </t>
  </si>
  <si>
    <t xml:space="preserve">- затрат электроэнергии                       </t>
  </si>
  <si>
    <t xml:space="preserve">8.1. </t>
  </si>
  <si>
    <t xml:space="preserve">8.2. </t>
  </si>
  <si>
    <t xml:space="preserve">8.3. </t>
  </si>
  <si>
    <t xml:space="preserve">8.4. </t>
  </si>
  <si>
    <t xml:space="preserve">8.5. </t>
  </si>
  <si>
    <t xml:space="preserve">- налог на пользователей автодорог            </t>
  </si>
  <si>
    <t xml:space="preserve">8.6. </t>
  </si>
  <si>
    <t>8.6.1.</t>
  </si>
  <si>
    <t xml:space="preserve">Полезный отпуск тепловой энергии, тыс. Гкал   </t>
  </si>
  <si>
    <t xml:space="preserve">Удельные расходы, руб./Гкал                   </t>
  </si>
  <si>
    <t xml:space="preserve">Условно-постоянные расходы, в том числе:      </t>
  </si>
  <si>
    <t xml:space="preserve">14.1. </t>
  </si>
  <si>
    <t>Расходы на компенсацию затрат (потерь) ресурсов на технологические цели, всего:  в т.ч.:</t>
  </si>
  <si>
    <t xml:space="preserve">- затрат (потерь) теплоносителей (пар, гор.  вода) </t>
  </si>
  <si>
    <t xml:space="preserve">Дополнительная  оплата  труда  производственных рабочих </t>
  </si>
  <si>
    <t xml:space="preserve">Отчисления     на    соц.   нужды   с    оплаты производственных рабочих </t>
  </si>
  <si>
    <t>Расходы     по    содержанию   и   эксплуатации оборудования, в том числе:</t>
  </si>
  <si>
    <t>другие  расходы  по  содержанию  и эксплуатации оборудования</t>
  </si>
  <si>
    <t>Плата за предельно  допустимые выбросы (сбросы) загрязняющих веществ</t>
  </si>
  <si>
    <t>Отчисления  в   ремонтный  фонд  в  случае  его формирования</t>
  </si>
  <si>
    <t xml:space="preserve">Непроизводственные  расходы  (налоги  и  другие обязательные  платежи  и  сборы) всего,  в  том числе: </t>
  </si>
  <si>
    <t>Другие  затраты,   относимые  на  себестоимость продукции всего, в том числе:</t>
  </si>
  <si>
    <t>1.19.2</t>
  </si>
  <si>
    <t>Базовый период 2008г.</t>
  </si>
  <si>
    <t>Базовый период 2008</t>
  </si>
  <si>
    <t>эксперты 2010</t>
  </si>
  <si>
    <t>эксперты 2008</t>
  </si>
  <si>
    <t>Базовый период  - 2008</t>
  </si>
  <si>
    <t xml:space="preserve">Период регулирования  2010. Заявитель </t>
  </si>
  <si>
    <t>2.2.</t>
  </si>
  <si>
    <t>2.3.</t>
  </si>
  <si>
    <t>2.4.</t>
  </si>
  <si>
    <t>2.5.</t>
  </si>
  <si>
    <t>Базовый период  -2010</t>
  </si>
  <si>
    <t>2.1</t>
  </si>
  <si>
    <t>2.2</t>
  </si>
  <si>
    <t xml:space="preserve"> -от собственного потребления</t>
  </si>
  <si>
    <t xml:space="preserve"> -от передачи субабонентам</t>
  </si>
  <si>
    <t xml:space="preserve">Период регулирования  2011 Заявитель </t>
  </si>
  <si>
    <t xml:space="preserve"> -собственное потребление</t>
  </si>
  <si>
    <t xml:space="preserve"> -субабонентам</t>
  </si>
  <si>
    <t>Базовый период  - 2010</t>
  </si>
  <si>
    <t>Астраханская область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</si>
  <si>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</si>
  <si>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</si>
  <si>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</si>
  <si>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</si>
  <si>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</si>
  <si>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</si>
  <si>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</si>
  <si>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</si>
  <si>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</si>
  <si>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</si>
  <si>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</si>
  <si>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</si>
  <si>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</si>
  <si>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</si>
  <si>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</si>
  <si>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</si>
  <si>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 xml:space="preserve">№ п.п. 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</si>
  <si>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</si>
  <si>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</si>
  <si>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</si>
  <si>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</si>
  <si>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</si>
  <si>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</si>
  <si>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</si>
  <si>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</si>
  <si>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</si>
  <si>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</si>
  <si>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</si>
  <si>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L3</t>
  </si>
  <si>
    <t>Относительные потери-энергия</t>
  </si>
  <si>
    <t>Относительные потери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</si>
  <si>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</si>
  <si>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</si>
  <si>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</si>
  <si>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</si>
  <si>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</si>
  <si>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L4.2</t>
  </si>
  <si>
    <t>передачи сторонним потребителям (субабонентам)</t>
  </si>
  <si>
    <t>Мощность</t>
  </si>
  <si>
    <t>L5</t>
  </si>
  <si>
    <t>5</t>
  </si>
  <si>
    <t>L6</t>
  </si>
  <si>
    <t>6</t>
  </si>
  <si>
    <t>L6.1</t>
  </si>
  <si>
    <t>L6.2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</si>
  <si>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</si>
  <si>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</si>
  <si>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</si>
  <si>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</si>
  <si>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</si>
  <si>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</si>
  <si>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</si>
  <si>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</si>
  <si>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</si>
  <si>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</si>
  <si>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</si>
  <si>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</si>
  <si>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</si>
  <si>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</si>
  <si>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</si>
  <si>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</si>
  <si>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</si>
  <si>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</si>
  <si>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</si>
  <si>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</si>
  <si>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</si>
  <si>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</si>
  <si>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</si>
  <si>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</si>
  <si>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</si>
  <si>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</si>
  <si>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</si>
  <si>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</si>
  <si>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</si>
  <si>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Период регулирования  2011 Эксперты</t>
  </si>
  <si>
    <t>Период регулирования  эксперты</t>
  </si>
  <si>
    <t>Таблица N П1.21.3</t>
  </si>
  <si>
    <t>- капитальные вложения</t>
  </si>
  <si>
    <t>3.</t>
  </si>
  <si>
    <t>4.</t>
  </si>
  <si>
    <t>5.</t>
  </si>
  <si>
    <t>Прибыль на прочие цели</t>
  </si>
  <si>
    <t>6.</t>
  </si>
  <si>
    <t>7.</t>
  </si>
  <si>
    <t>8.</t>
  </si>
  <si>
    <t xml:space="preserve">в том числе:          </t>
  </si>
  <si>
    <t xml:space="preserve">ВН                    </t>
  </si>
  <si>
    <t xml:space="preserve">СН1                   </t>
  </si>
  <si>
    <t xml:space="preserve">СН11                  </t>
  </si>
  <si>
    <t xml:space="preserve">НН                    </t>
  </si>
  <si>
    <t xml:space="preserve">Прибыль на поощрение  </t>
  </si>
  <si>
    <t xml:space="preserve">Дивиденды по акциям   </t>
  </si>
  <si>
    <t xml:space="preserve">- услуги банка        </t>
  </si>
  <si>
    <t>Прибыль,     облагаемая</t>
  </si>
  <si>
    <t xml:space="preserve">налогом               </t>
  </si>
  <si>
    <t>Налоги, сборы,  платежи</t>
  </si>
  <si>
    <t xml:space="preserve">- всего               </t>
  </si>
  <si>
    <t xml:space="preserve">- на прибыль          </t>
  </si>
  <si>
    <t xml:space="preserve">- на имущество        </t>
  </si>
  <si>
    <t>- плата   за    выбросы</t>
  </si>
  <si>
    <t xml:space="preserve">загрязняющих веществ  </t>
  </si>
  <si>
    <t>- другие    налоги    и</t>
  </si>
  <si>
    <t>обязательные   сборы  и</t>
  </si>
  <si>
    <t xml:space="preserve">ВН                     </t>
  </si>
  <si>
    <t xml:space="preserve">Прибыль   на   развитие производства  в том числе: </t>
  </si>
  <si>
    <t>п.п.</t>
  </si>
  <si>
    <t xml:space="preserve">Показатели                 </t>
  </si>
  <si>
    <t xml:space="preserve">1.  </t>
  </si>
  <si>
    <t>Расчет технологического расхода электрической энергии (потерь) в электрических сетях ЭСО ОАО "ВОСХОД"</t>
  </si>
  <si>
    <t>Баланс электрической энергии по сетям ВН, СН1, СН11 и НН ОАО "ВОСХОД"</t>
  </si>
  <si>
    <t>Электрическая мощность по диапазонам напряжения ЭСО ОАО "ВОСХОД"</t>
  </si>
  <si>
    <t xml:space="preserve">Структура полезного отпуска электрической энергии
(мощности) по группам потребителей ЭСО ОАО "ВОСХОД"
</t>
  </si>
  <si>
    <t>Период регулирования Заявитель  2013</t>
  </si>
  <si>
    <t>Период регулирования Эксперты    2013</t>
  </si>
  <si>
    <t xml:space="preserve">Налог на землю                    </t>
  </si>
  <si>
    <t>арендная плата (аренда земли)</t>
  </si>
  <si>
    <t xml:space="preserve"> энергоаудит+ энергосбережение</t>
  </si>
  <si>
    <t>План 2012 Год</t>
  </si>
  <si>
    <t>План 2013 Год</t>
  </si>
  <si>
    <t xml:space="preserve">Установленная мощность эл. станций ПЭ        </t>
  </si>
  <si>
    <t>тыс. кВт</t>
  </si>
  <si>
    <t xml:space="preserve">2.  </t>
  </si>
  <si>
    <t xml:space="preserve">3.  </t>
  </si>
  <si>
    <t xml:space="preserve">4.   </t>
  </si>
  <si>
    <t xml:space="preserve">Прочие ограничения                           </t>
  </si>
  <si>
    <t xml:space="preserve">Располагаемая мощность ПЭ                    </t>
  </si>
  <si>
    <t xml:space="preserve">4.  </t>
  </si>
  <si>
    <t xml:space="preserve">5.  </t>
  </si>
  <si>
    <t xml:space="preserve">Рабочая мощность ПЭ                           </t>
  </si>
  <si>
    <t xml:space="preserve">6.  </t>
  </si>
  <si>
    <t xml:space="preserve">Мощность на собственные нужды                </t>
  </si>
  <si>
    <t xml:space="preserve">7.  </t>
  </si>
  <si>
    <t>мат по накладным</t>
  </si>
  <si>
    <t xml:space="preserve">Полезная мощность ПЭ                         </t>
  </si>
  <si>
    <t>Снижение мощности из-за вывода оборудования  в консервацию</t>
  </si>
  <si>
    <t>Нормативные,      согласованные    с    ОРГРЭС ограничения мощности</t>
  </si>
  <si>
    <t>Снижение мощности из-за вывода оборудования  в реконструкцию и во все виды ремонтов</t>
  </si>
  <si>
    <t>Единица измерения</t>
  </si>
  <si>
    <t>Базовый период</t>
  </si>
  <si>
    <t>Период регулирования</t>
  </si>
  <si>
    <t>Баланс мощности ПЭ в годовом совмещенном максимуме графика электрической нагрузки ОЭС</t>
  </si>
  <si>
    <t xml:space="preserve">п.п. </t>
  </si>
  <si>
    <t xml:space="preserve">п.п </t>
  </si>
  <si>
    <t>Таблица №П1.1.1</t>
  </si>
  <si>
    <t xml:space="preserve">1.   </t>
  </si>
  <si>
    <t xml:space="preserve">Поступление мощности в сеть ЭСО от ПЭ        </t>
  </si>
  <si>
    <t xml:space="preserve">1.1. </t>
  </si>
  <si>
    <t xml:space="preserve">Собственных станций                          </t>
  </si>
  <si>
    <t xml:space="preserve">1.2.  </t>
  </si>
  <si>
    <t xml:space="preserve">От блокстанций                               </t>
  </si>
  <si>
    <t xml:space="preserve">1.3. </t>
  </si>
  <si>
    <t xml:space="preserve">С оптового рынка                             </t>
  </si>
  <si>
    <t xml:space="preserve">1.4. </t>
  </si>
  <si>
    <t>ООО Винер</t>
  </si>
  <si>
    <t>тп-3</t>
  </si>
  <si>
    <t>РП-3</t>
  </si>
  <si>
    <t>ООО "КАЛУГА-Трансфер"</t>
  </si>
  <si>
    <t>ООО Апгрейд</t>
  </si>
  <si>
    <t>тп-3 цех2</t>
  </si>
  <si>
    <t>ИП Тимошкин</t>
  </si>
  <si>
    <t>щит скв№2</t>
  </si>
  <si>
    <t>ООО Гарт</t>
  </si>
  <si>
    <t>тп-2 щит гаража</t>
  </si>
  <si>
    <t>ОАО Автоприбор</t>
  </si>
  <si>
    <t>ООО Олимп</t>
  </si>
  <si>
    <t>ЧП Хроменков</t>
  </si>
  <si>
    <t>ООО Бонус</t>
  </si>
  <si>
    <t>Автокооператив Восход</t>
  </si>
  <si>
    <t>Роспечать</t>
  </si>
  <si>
    <t>ООО Союз Газ</t>
  </si>
  <si>
    <t>ООО Евроокна-К</t>
  </si>
  <si>
    <t>ОАО "Бахус"</t>
  </si>
  <si>
    <t>ООО "КАлугаАвтоЗапчасть"</t>
  </si>
  <si>
    <t>ЧП Иванов</t>
  </si>
  <si>
    <t>АКБ "СОЮЗ"банк</t>
  </si>
  <si>
    <t>Период   регулирования  эксперты 2011</t>
  </si>
  <si>
    <t>ВСЕГО тП2.1+П2.2</t>
  </si>
  <si>
    <t>сумм</t>
  </si>
  <si>
    <t xml:space="preserve">Других ПЭ и ЭСО                              </t>
  </si>
  <si>
    <t>1.4.1.</t>
  </si>
  <si>
    <t xml:space="preserve">...                                          </t>
  </si>
  <si>
    <t xml:space="preserve">2.   </t>
  </si>
  <si>
    <t xml:space="preserve">Потери в сети                                 </t>
  </si>
  <si>
    <t xml:space="preserve">3.   </t>
  </si>
  <si>
    <t>Максимум нагрузки собственных потребителей ЭСО</t>
  </si>
  <si>
    <t xml:space="preserve">Передача мощности другим ЭСО                 </t>
  </si>
  <si>
    <t xml:space="preserve">Передача мощности на оптовый рынок           </t>
  </si>
  <si>
    <r>
      <t xml:space="preserve">Полезный отпуск  мощности потребителям в том числе:     </t>
    </r>
    <r>
      <rPr>
        <sz val="12"/>
        <color indexed="48"/>
        <rFont val="Arial"/>
        <family val="2"/>
      </rPr>
      <t xml:space="preserve"> (Nпо)</t>
    </r>
  </si>
  <si>
    <t xml:space="preserve">Потери,   обусловленные погрешностями приборов учета </t>
  </si>
  <si>
    <t>9.8.2.</t>
  </si>
  <si>
    <t>9.8.3.</t>
  </si>
  <si>
    <t>9.8.4.</t>
  </si>
  <si>
    <t>9.8.5.</t>
  </si>
  <si>
    <t xml:space="preserve">передача электроэнергии      без абонплаты          </t>
  </si>
  <si>
    <t>Баланс мощности ЭСО в годовом совмещенном максимуме графика электрической нагрузки ОЭС</t>
  </si>
  <si>
    <t>Таблица №П1.1.2</t>
  </si>
  <si>
    <t>Мощность на производственные и   хозяйственные нужды</t>
  </si>
  <si>
    <r>
      <t xml:space="preserve">Полезный отпуск мощности ЭСО       </t>
    </r>
    <r>
      <rPr>
        <sz val="9"/>
        <rFont val="Arial"/>
        <family val="2"/>
      </rPr>
      <t>в том числе:</t>
    </r>
    <r>
      <rPr>
        <sz val="10"/>
        <rFont val="Arial"/>
        <family val="2"/>
      </rPr>
      <t xml:space="preserve">           </t>
    </r>
  </si>
  <si>
    <t xml:space="preserve">Полезный отпуск ПЭ (строка 7 т. 1.2.1)       </t>
  </si>
  <si>
    <t xml:space="preserve">Покупная электроэнергия                      </t>
  </si>
  <si>
    <t xml:space="preserve">2.1. </t>
  </si>
  <si>
    <t xml:space="preserve">с оптового рынка                             </t>
  </si>
  <si>
    <t xml:space="preserve">2.2. </t>
  </si>
  <si>
    <t xml:space="preserve">от блок-станций                              </t>
  </si>
  <si>
    <t xml:space="preserve">2.3. </t>
  </si>
  <si>
    <t xml:space="preserve">Потери электроэнергии в сетях                </t>
  </si>
  <si>
    <t xml:space="preserve">то же в % к отпуску в сеть                   </t>
  </si>
  <si>
    <t xml:space="preserve">для закачки воды ГАЭС                        </t>
  </si>
  <si>
    <t xml:space="preserve">для электробойлерных                         </t>
  </si>
  <si>
    <t xml:space="preserve">для котельных                                </t>
  </si>
  <si>
    <t xml:space="preserve">5.   </t>
  </si>
  <si>
    <t xml:space="preserve">5.1. </t>
  </si>
  <si>
    <t xml:space="preserve">Передача электроэнергии на оптовый рынок     </t>
  </si>
  <si>
    <t xml:space="preserve">5.2. </t>
  </si>
  <si>
    <t xml:space="preserve">Отпуск электроэнергии по прямым договорам    </t>
  </si>
  <si>
    <t xml:space="preserve">5.3. </t>
  </si>
  <si>
    <t xml:space="preserve">Полезный отпуск электроэнергии в общую сеть  </t>
  </si>
  <si>
    <t>от других  поставщиков (за  вычетом  строки  2 таблицы П.1.2.1)</t>
  </si>
  <si>
    <r>
      <t xml:space="preserve">Расход электроэнергии  на  производственные  и хозяйственные нужды         </t>
    </r>
    <r>
      <rPr>
        <sz val="9"/>
        <rFont val="Arial"/>
        <family val="2"/>
      </rPr>
      <t>в том числе:</t>
    </r>
  </si>
  <si>
    <r>
      <t xml:space="preserve">Полезный отпуск электроэнергии ЭСО, всего   </t>
    </r>
    <r>
      <rPr>
        <sz val="9"/>
        <rFont val="Arial"/>
        <family val="2"/>
      </rPr>
      <t xml:space="preserve">в том числе: </t>
    </r>
  </si>
  <si>
    <t>Таблица №П1.2.2</t>
  </si>
  <si>
    <t>Расчет полезного отпуска электрической энергии по ЭСО</t>
  </si>
  <si>
    <t>млн. кВт.ч</t>
  </si>
  <si>
    <t>ТЭС</t>
  </si>
  <si>
    <t>ГЭС</t>
  </si>
  <si>
    <t>Покупная     электроэнергия     от      других собственников</t>
  </si>
  <si>
    <t xml:space="preserve">Расход электроэнергии на собственные нужды                                       </t>
  </si>
  <si>
    <t>в том числе на ТЭС:</t>
  </si>
  <si>
    <t>`-на производство теплоэнергии</t>
  </si>
  <si>
    <t>`-на производство электроэнергии</t>
  </si>
  <si>
    <t>тоже в %</t>
  </si>
  <si>
    <t xml:space="preserve">тоже в кВт.ч/Гкал                            </t>
  </si>
  <si>
    <t>в том числе на ГЭС:</t>
  </si>
  <si>
    <t>Отпуск  электроэнергии  с  шин  (п. 1 - п. 3), всего</t>
  </si>
  <si>
    <t>Расход электроэнергии  на  производственные  и хозяйственные нужды ПЭ</t>
  </si>
  <si>
    <t>Потери электроэнергии в пристанционных узлах</t>
  </si>
  <si>
    <t>Полезный отпуск ПЭ (п. 4 + п. 2 - п. 5 - п.6)</t>
  </si>
  <si>
    <t>1.25</t>
  </si>
  <si>
    <t>Средневзвешенный тариф на электрическую энергию</t>
  </si>
  <si>
    <t>Отпуск электрической энергии в  сеть  с учетом    величины     сальдо-перетока электроэнергии</t>
  </si>
  <si>
    <t>млн.кВт.ч</t>
  </si>
  <si>
    <t>СН</t>
  </si>
  <si>
    <t>в т.ч. СН1</t>
  </si>
  <si>
    <t>3 .</t>
  </si>
  <si>
    <t>Потери электрической энергии</t>
  </si>
  <si>
    <t>%</t>
  </si>
  <si>
    <t>3.2 .</t>
  </si>
  <si>
    <t>3.3.</t>
  </si>
  <si>
    <t>Полезный отпуск электрической энергии</t>
  </si>
  <si>
    <t>4.3 .</t>
  </si>
  <si>
    <t>Расходы на компенсацию потерь</t>
  </si>
  <si>
    <t>тыс.руб.</t>
  </si>
  <si>
    <t>5.1.</t>
  </si>
  <si>
    <t>5.2.</t>
  </si>
  <si>
    <t xml:space="preserve">              СН11</t>
  </si>
  <si>
    <t>5.3</t>
  </si>
  <si>
    <t>нн</t>
  </si>
  <si>
    <t>Таблица № П2.2</t>
  </si>
  <si>
    <t xml:space="preserve">доля передачи к цеховым </t>
  </si>
  <si>
    <t>подписка газеты "Весть"</t>
  </si>
  <si>
    <t xml:space="preserve">Объем подстанций 35-1150 кВ, трансформаторных подстанций (ТП), комплектных трансформаторных подстанций (КТП) и распределительных пунктов(РП) 0,4-20 кВ в условных единицах. </t>
  </si>
  <si>
    <t xml:space="preserve"> 1-20</t>
  </si>
  <si>
    <t>Ставка на оплату технологического расхода (потерь) электрической энергии на ее передачу по сетям</t>
  </si>
  <si>
    <t>руб./МВт. ч</t>
  </si>
  <si>
    <t>6.1</t>
  </si>
  <si>
    <t>6.3</t>
  </si>
  <si>
    <t>Таблица N П1.24</t>
  </si>
  <si>
    <t>из них на сбыт</t>
  </si>
  <si>
    <t>в т.ч.  СН1</t>
  </si>
  <si>
    <t>Рентабельность (п.2/п.1 х 100%)</t>
  </si>
  <si>
    <t xml:space="preserve">Потери на корону, от токов утечи по изоляторам в линиях   </t>
  </si>
  <si>
    <t>Потери в соед.проводах, сборных шинах, устройствах ВЧ-связи,изоляции кабелей и т.д.</t>
  </si>
  <si>
    <t>Необходимая валовая выручка, отнесенная на передачу электрической энергии (п. 1 +  п.2)</t>
  </si>
  <si>
    <t>руб./МВт.мес</t>
  </si>
  <si>
    <t>5.2</t>
  </si>
  <si>
    <t>5.3.</t>
  </si>
  <si>
    <t>6.1.</t>
  </si>
  <si>
    <t>6.2</t>
  </si>
  <si>
    <t>в том числе: по прямым договорам в общую сеть</t>
  </si>
  <si>
    <t>Расчет полезного отпуска электрической энергии по ПЭ</t>
  </si>
  <si>
    <t>Таблица №П1.2.1</t>
  </si>
  <si>
    <t>Выработка электроэнергии, всего в том числе:</t>
  </si>
  <si>
    <t xml:space="preserve">Показатели       </t>
  </si>
  <si>
    <t>Ед. изм.</t>
  </si>
  <si>
    <t>ВН</t>
  </si>
  <si>
    <t>СН1</t>
  </si>
  <si>
    <t>СН11</t>
  </si>
  <si>
    <t>НН</t>
  </si>
  <si>
    <t>Всего</t>
  </si>
  <si>
    <t xml:space="preserve">1.    </t>
  </si>
  <si>
    <t xml:space="preserve">Технические потери      </t>
  </si>
  <si>
    <t xml:space="preserve">1.1.  </t>
  </si>
  <si>
    <t xml:space="preserve">а     </t>
  </si>
  <si>
    <t xml:space="preserve">Норматив потерь         </t>
  </si>
  <si>
    <t>кВт/МВА</t>
  </si>
  <si>
    <t xml:space="preserve">б     </t>
  </si>
  <si>
    <t xml:space="preserve">МВА  </t>
  </si>
  <si>
    <t xml:space="preserve">в     </t>
  </si>
  <si>
    <t xml:space="preserve">час  </t>
  </si>
  <si>
    <t xml:space="preserve">тыс. </t>
  </si>
  <si>
    <t xml:space="preserve">Количество              </t>
  </si>
  <si>
    <t xml:space="preserve">шт.  </t>
  </si>
  <si>
    <t xml:space="preserve">1.3.  </t>
  </si>
  <si>
    <t xml:space="preserve">шт. </t>
  </si>
  <si>
    <t xml:space="preserve">1.4.  </t>
  </si>
  <si>
    <t>1.4.2.</t>
  </si>
  <si>
    <t>1.4.3.</t>
  </si>
  <si>
    <t xml:space="preserve">...                     </t>
  </si>
  <si>
    <t xml:space="preserve">1.5.  </t>
  </si>
  <si>
    <t>1.5.1.</t>
  </si>
  <si>
    <t xml:space="preserve">Протяженность линий     </t>
  </si>
  <si>
    <t xml:space="preserve">км   </t>
  </si>
  <si>
    <t>1.5.2.</t>
  </si>
  <si>
    <t xml:space="preserve">1.6.  </t>
  </si>
  <si>
    <t>Нагрузочные потери, всего</t>
  </si>
  <si>
    <t>1.6.1.</t>
  </si>
  <si>
    <t xml:space="preserve">%   </t>
  </si>
  <si>
    <t xml:space="preserve">Поправочный коэффициент </t>
  </si>
  <si>
    <t xml:space="preserve">СН11                    </t>
  </si>
  <si>
    <t>1.6.2.</t>
  </si>
  <si>
    <t xml:space="preserve">Прочие потребители в том числе:   </t>
  </si>
  <si>
    <t xml:space="preserve">2.    </t>
  </si>
  <si>
    <t xml:space="preserve">3.    </t>
  </si>
  <si>
    <t xml:space="preserve">4.    </t>
  </si>
  <si>
    <t xml:space="preserve">Итого                   </t>
  </si>
  <si>
    <t>Потери холостого хода   в трансформаторах (а х б х в)</t>
  </si>
  <si>
    <t>Суммарная мощность трансформаторов</t>
  </si>
  <si>
    <t xml:space="preserve">Продолжительность периода   </t>
  </si>
  <si>
    <t>Потери в БСК и СТК (а х б)</t>
  </si>
  <si>
    <t>тыс. кВт.ч в год/шт.</t>
  </si>
  <si>
    <t xml:space="preserve">Потери   в    шунтирующих реакторах (а х б) </t>
  </si>
  <si>
    <t>Потери    в    синхронных компенсаторах (СК)</t>
  </si>
  <si>
    <t>Потери в  СК  номинальной мощностью ____ Мвар (а хб)</t>
  </si>
  <si>
    <t>Потери электрической энергии на корону, всего</t>
  </si>
  <si>
    <t>1.1.1</t>
  </si>
  <si>
    <t>1.1.2</t>
  </si>
  <si>
    <t>1.2.2</t>
  </si>
  <si>
    <t>1.2.1</t>
  </si>
  <si>
    <t>1.8</t>
  </si>
  <si>
    <t>Расчет НВВ на 2012-2014 годы</t>
  </si>
  <si>
    <t xml:space="preserve">Камера КСО-272-84-55 64957 </t>
  </si>
  <si>
    <t xml:space="preserve">00025139 </t>
  </si>
  <si>
    <t xml:space="preserve">Камера КСО-272-84-55 64958 </t>
  </si>
  <si>
    <t xml:space="preserve">00025141 </t>
  </si>
  <si>
    <t xml:space="preserve">Камера КСО-272-84-55 64960 </t>
  </si>
  <si>
    <t xml:space="preserve">00025273 </t>
  </si>
  <si>
    <t>Блок разделения воздуха А-06 б/н 500 м3/ч</t>
  </si>
  <si>
    <t xml:space="preserve">00025814 </t>
  </si>
  <si>
    <t>Венитилятор Ц4-70 4962 30кВт.</t>
  </si>
  <si>
    <t>01.06.1985 0:00:00</t>
  </si>
  <si>
    <t xml:space="preserve">00025815 </t>
  </si>
  <si>
    <t>Венитилятор Ц4-70 4979 30кВт.</t>
  </si>
  <si>
    <t xml:space="preserve">00025828 </t>
  </si>
  <si>
    <t>Компрессор 2ВМ4-24/9С 84064 380В</t>
  </si>
  <si>
    <t xml:space="preserve">00025844 </t>
  </si>
  <si>
    <t>Агрегат э/насосный Д 8000-57 1084 220/380В</t>
  </si>
  <si>
    <t xml:space="preserve">00025845 </t>
  </si>
  <si>
    <t>Агрегат э/насосный Д 8000-57 1985 220/380В</t>
  </si>
  <si>
    <t xml:space="preserve">00025946 </t>
  </si>
  <si>
    <t>Э/лизер СЭУ-40 2002201 20 м3/ч</t>
  </si>
  <si>
    <t xml:space="preserve">00025983 </t>
  </si>
  <si>
    <t>Колориметр фотоэлектрический  8416976 220В 50Гц</t>
  </si>
  <si>
    <t xml:space="preserve">00026960 </t>
  </si>
  <si>
    <t>Станок сверлильный ЭМ-102 б/н 220/380В</t>
  </si>
  <si>
    <t>01.10.1985 0:00:00</t>
  </si>
  <si>
    <t xml:space="preserve">00026961 </t>
  </si>
  <si>
    <t>Насос 200 Д90Б 5974 220/380в</t>
  </si>
  <si>
    <t xml:space="preserve">00026962 </t>
  </si>
  <si>
    <t>Насос 200 Д90Б 5979 220/380в</t>
  </si>
  <si>
    <t xml:space="preserve">00027014 </t>
  </si>
  <si>
    <t>Колориметр фотоэлектрический концентрац КФК-2 8513229 220В 50Гц</t>
  </si>
  <si>
    <t xml:space="preserve">00027026 </t>
  </si>
  <si>
    <t>Венитилятор Ц14-46 6742 6кВт.</t>
  </si>
  <si>
    <t xml:space="preserve">00027028 </t>
  </si>
  <si>
    <t>Венитилятор Ц14-46 6745 7,5кВт.</t>
  </si>
  <si>
    <t xml:space="preserve">00027238 </t>
  </si>
  <si>
    <t>Комплект средств управления КСУ-1 6096 50ВА 50Гц</t>
  </si>
  <si>
    <t>01.12.1985 0:00:00</t>
  </si>
  <si>
    <t xml:space="preserve">00027239 </t>
  </si>
  <si>
    <t>Комплект средств управления КСУ-1 6097 50ВА 50Гц</t>
  </si>
  <si>
    <t xml:space="preserve">00027319 </t>
  </si>
  <si>
    <t>Установка КТЦ-80 703 40кВт</t>
  </si>
  <si>
    <t xml:space="preserve">00027320 </t>
  </si>
  <si>
    <t>Установка КТЦ-80 706 40кВт</t>
  </si>
  <si>
    <t xml:space="preserve">00027329 </t>
  </si>
  <si>
    <t>Вентилятор Ц14-46 б/н 7,5кВт</t>
  </si>
  <si>
    <t>01.01.1986 0:00:00</t>
  </si>
  <si>
    <t xml:space="preserve">00027330 </t>
  </si>
  <si>
    <t xml:space="preserve">00027379 </t>
  </si>
  <si>
    <t>Насос 300 Д 70 П 4041 200кВт</t>
  </si>
  <si>
    <t>01.10.1986 0:00:00</t>
  </si>
  <si>
    <t xml:space="preserve">00027397 </t>
  </si>
  <si>
    <t>Уст-ка выпрямительная ВУК-67/70 8133 380В</t>
  </si>
  <si>
    <t>01.02.1986 0:00:00</t>
  </si>
  <si>
    <t xml:space="preserve">00027767 </t>
  </si>
  <si>
    <t>Калорифер ТВМ3.031.001ПС б/н 18кВт380В</t>
  </si>
  <si>
    <t>01.05.1986 0:00:00</t>
  </si>
  <si>
    <t xml:space="preserve">00027911 </t>
  </si>
  <si>
    <t>Устр-во выпрямительное ВУТ-67/70 609 220В 50Гц</t>
  </si>
  <si>
    <t xml:space="preserve">00028029 </t>
  </si>
  <si>
    <t xml:space="preserve">Устр-во выпрямительное ВУТ-67/60 579 </t>
  </si>
  <si>
    <t>01.07.1986 0:00:00</t>
  </si>
  <si>
    <t xml:space="preserve">00028070 </t>
  </si>
  <si>
    <t>Комплект средств управления КСУ-2П 94 220В</t>
  </si>
  <si>
    <t>01.08.1986 0:00:00</t>
  </si>
  <si>
    <t xml:space="preserve">00028144 </t>
  </si>
  <si>
    <t xml:space="preserve">АТС на 1024 точек Квант 450 </t>
  </si>
  <si>
    <t xml:space="preserve">00028390 </t>
  </si>
  <si>
    <t xml:space="preserve">Рампа наполнит.кислородная 2х5 баллон КЕ6.803.000ПС6) б/н </t>
  </si>
  <si>
    <t xml:space="preserve">00028544 </t>
  </si>
  <si>
    <t>Вентилятор Ц14-46 N8 6584/В 30кВт</t>
  </si>
  <si>
    <t>01.12.1986 0:00:00</t>
  </si>
  <si>
    <t xml:space="preserve">00028545 </t>
  </si>
  <si>
    <t>Вентилятор Ц14-46 N8 6583/В 30кВт</t>
  </si>
  <si>
    <t xml:space="preserve">00028643 </t>
  </si>
  <si>
    <t>Кондиционер КТЦ-40 658/В 40000м3/ч</t>
  </si>
  <si>
    <t xml:space="preserve">00028644 </t>
  </si>
  <si>
    <t>Кондиционер КТЦ-40 324/В 40000м3/ч</t>
  </si>
  <si>
    <t xml:space="preserve">00028645 </t>
  </si>
  <si>
    <t>Кондиционер КТЦ-40 731/В 40000м3/ч</t>
  </si>
  <si>
    <t xml:space="preserve">00028648 </t>
  </si>
  <si>
    <t>Насос К-90/55 42588 90 м3</t>
  </si>
  <si>
    <t xml:space="preserve">00028649 </t>
  </si>
  <si>
    <t>Насос К-90/55 42589 90 м3</t>
  </si>
  <si>
    <t xml:space="preserve">00029019 </t>
  </si>
  <si>
    <t xml:space="preserve">Пункт распределительный ПР2487218-21 1437 </t>
  </si>
  <si>
    <t>01.07.1987 0:00:00</t>
  </si>
  <si>
    <t xml:space="preserve">00029020 </t>
  </si>
  <si>
    <t xml:space="preserve">Пункт распределительный ПР2487218-21 1452 </t>
  </si>
  <si>
    <t xml:space="preserve">00029021 </t>
  </si>
  <si>
    <t xml:space="preserve">Пункт распределительный ПР2487218-21 1303 </t>
  </si>
  <si>
    <t xml:space="preserve">00029268 </t>
  </si>
  <si>
    <t>Ножницы гильотинные НД-3314Г 4708 2,5мм</t>
  </si>
  <si>
    <t>01.06.1987 0:00:00</t>
  </si>
  <si>
    <t xml:space="preserve">00029315 </t>
  </si>
  <si>
    <t xml:space="preserve">Пункт распределительный ПР2487218-21У3 1982 </t>
  </si>
  <si>
    <t xml:space="preserve">00029316 </t>
  </si>
  <si>
    <t xml:space="preserve">Пункт распределительный ПР2487218-21У3 1980 </t>
  </si>
  <si>
    <t xml:space="preserve">00029421 </t>
  </si>
  <si>
    <t>Измеритель температур и влажности ИТВ-1М б/н 25Вт 50Гц</t>
  </si>
  <si>
    <t>01.04.1987 0:00:00</t>
  </si>
  <si>
    <t xml:space="preserve">00029422 </t>
  </si>
  <si>
    <t xml:space="preserve">00029833 </t>
  </si>
  <si>
    <t>Станок заточной 3К 633Т 20987 380В</t>
  </si>
  <si>
    <t>01.09.1987 0:00:00</t>
  </si>
  <si>
    <t xml:space="preserve">00029835 </t>
  </si>
  <si>
    <t>Насос 300 Д/90 6425 100кВт</t>
  </si>
  <si>
    <t xml:space="preserve">00029836 </t>
  </si>
  <si>
    <t>Насос 300 Д/90 6428 100кВт</t>
  </si>
  <si>
    <t xml:space="preserve">00029848 </t>
  </si>
  <si>
    <t>Венитилятор Ц14-46 2503 11 кВт.</t>
  </si>
  <si>
    <t xml:space="preserve">00029849 </t>
  </si>
  <si>
    <t>Венитилятор Ц14-46 2504 11 кВт.</t>
  </si>
  <si>
    <t xml:space="preserve">00029850 </t>
  </si>
  <si>
    <t>Венитилятор Ц14-46 2505 11 кВт.</t>
  </si>
  <si>
    <t xml:space="preserve">00029851 </t>
  </si>
  <si>
    <t>Венитилятор Ц14-46 2506 11 кВт.</t>
  </si>
  <si>
    <t xml:space="preserve">00029852 </t>
  </si>
  <si>
    <t>Венитилятор Ц14-46 2510 11 кВт.</t>
  </si>
  <si>
    <t xml:space="preserve">00029853 </t>
  </si>
  <si>
    <t>Венитилятор Ц14-46 2511 11 кВт.</t>
  </si>
  <si>
    <t xml:space="preserve">00029854 </t>
  </si>
  <si>
    <t>Венитилятор Ц14-46 2512 11 кВт.</t>
  </si>
  <si>
    <t xml:space="preserve">00029855 </t>
  </si>
  <si>
    <t>Венитилятор Ц14-46 2515 11 кВт.</t>
  </si>
  <si>
    <t xml:space="preserve">00029856 </t>
  </si>
  <si>
    <t>Венитилятор Ц14-46 2516 11 кВт.</t>
  </si>
  <si>
    <t xml:space="preserve">00029862 </t>
  </si>
  <si>
    <t>Венитилятор Ц14-46 1813 18,5кВт.</t>
  </si>
  <si>
    <t xml:space="preserve">00029938 </t>
  </si>
  <si>
    <t>Уст-ка воздухоразделения   К-0,15 КК0.036.00.000ПС 0036 150 м3/ч</t>
  </si>
  <si>
    <t>01.02.1987 0:00:00</t>
  </si>
  <si>
    <t xml:space="preserve">00030057 </t>
  </si>
  <si>
    <t>Преобразователь П-215 2479 220В 50Гц</t>
  </si>
  <si>
    <t>01.11.1987 0:00:00</t>
  </si>
  <si>
    <t xml:space="preserve">00030181 </t>
  </si>
  <si>
    <t>Насос КМ 80/50 200 617 11кВт</t>
  </si>
  <si>
    <t>01.12.1987 0:00:00</t>
  </si>
  <si>
    <t xml:space="preserve">00030212 </t>
  </si>
  <si>
    <t>Станок точильно-шлифовальный 3к-633 20928 220В</t>
  </si>
  <si>
    <t xml:space="preserve">00030219 </t>
  </si>
  <si>
    <t>Кран мостовой с ручным приводом  00132 Г/п-8т</t>
  </si>
  <si>
    <t xml:space="preserve">00030275 </t>
  </si>
  <si>
    <t>Венитилятор Ц14-46 Б-7248 13кВт.</t>
  </si>
  <si>
    <t xml:space="preserve">00030276 </t>
  </si>
  <si>
    <t>Венитилятор Ц14-46 Б-7632 13кВт.</t>
  </si>
  <si>
    <t xml:space="preserve">00030277 </t>
  </si>
  <si>
    <t>Вентилятор Ц14-46 N 6,3 С 63567 7,5кВт</t>
  </si>
  <si>
    <t xml:space="preserve">00030278 </t>
  </si>
  <si>
    <t>Вентилятор Ц14-46 N 6,3 С 63939 7,5кВт</t>
  </si>
  <si>
    <t xml:space="preserve">00030748 </t>
  </si>
  <si>
    <t>Насос ПР12,5/12,5 43015 V=12м3/час</t>
  </si>
  <si>
    <t>01.04.1988 0:00:00</t>
  </si>
  <si>
    <t xml:space="preserve">00031077 </t>
  </si>
  <si>
    <t>Часы электронные Электроника7-06к 119214 220В 50Гц</t>
  </si>
  <si>
    <t>01.08.1988 0:00:00</t>
  </si>
  <si>
    <t xml:space="preserve">00031078 </t>
  </si>
  <si>
    <t>Часы электронные Электроника7-06к 146916 220В 50Гц</t>
  </si>
  <si>
    <t xml:space="preserve">00031079 </t>
  </si>
  <si>
    <t>Часы электронные Электроника7-06к 147009 220В 50Гц</t>
  </si>
  <si>
    <t xml:space="preserve">00031523 </t>
  </si>
  <si>
    <t>Трубогиб Ш8М3.112.006 99 220В</t>
  </si>
  <si>
    <t>01.12.1988 0:00:00</t>
  </si>
  <si>
    <t xml:space="preserve">00031629 </t>
  </si>
  <si>
    <t>Ножницы угловые  148 ход-20мм</t>
  </si>
  <si>
    <t xml:space="preserve">00031702 </t>
  </si>
  <si>
    <t>Вентилятор Ц4-70 N 8 1715 11кВт</t>
  </si>
  <si>
    <t xml:space="preserve">00031703 </t>
  </si>
  <si>
    <t>Вентилятор ВЦМ-46 N 8 1562 11кВт</t>
  </si>
  <si>
    <t xml:space="preserve">00031704 </t>
  </si>
  <si>
    <t>Вентилятор ВЦМ-46 N 8 1574 11кВт</t>
  </si>
  <si>
    <t xml:space="preserve">00031718 </t>
  </si>
  <si>
    <t>Рессивер для фреона РЛ-6 87048 d=16кГ/см2</t>
  </si>
  <si>
    <t xml:space="preserve">00031723 </t>
  </si>
  <si>
    <t>Электролизер СЭУ-40 970 40 м3/ч</t>
  </si>
  <si>
    <t xml:space="preserve">00031759 </t>
  </si>
  <si>
    <t>Электролизер СЭУ-40 б/н 40 м3/ч</t>
  </si>
  <si>
    <t xml:space="preserve">00031939 </t>
  </si>
  <si>
    <t>Вентилятор Ц14-46 N6,3 26031 7,5кВт</t>
  </si>
  <si>
    <t>01.02.1989 0:00:00</t>
  </si>
  <si>
    <t xml:space="preserve">00031940 </t>
  </si>
  <si>
    <t>Вентилятор Ц14-46 N6,3 26032 7,5кВт</t>
  </si>
  <si>
    <t xml:space="preserve">00031951 </t>
  </si>
  <si>
    <t>Электроталь  16852-А Г/п-0,5т</t>
  </si>
  <si>
    <t xml:space="preserve">00031952 </t>
  </si>
  <si>
    <t>Кондиционер центральный КТУ2А-63 2545 220/380В</t>
  </si>
  <si>
    <t xml:space="preserve">00032077 </t>
  </si>
  <si>
    <t>Вентилятор Ц14-46 N5 4183 5,5кВт</t>
  </si>
  <si>
    <t>01.04.1989 0:00:00</t>
  </si>
  <si>
    <t xml:space="preserve">00032078 </t>
  </si>
  <si>
    <t>Вентилятор Ц14-46 N5 4185 5,5кВт</t>
  </si>
  <si>
    <t xml:space="preserve">00032083 </t>
  </si>
  <si>
    <t>Вентилятор Ц14-46 N5 4184 5,5кВт</t>
  </si>
  <si>
    <t xml:space="preserve">00032194 </t>
  </si>
  <si>
    <t>Вентилятор Ц14-46 N8 3708 22кВт</t>
  </si>
  <si>
    <t>01.05.1989 0:00:00</t>
  </si>
  <si>
    <t xml:space="preserve">00032195 </t>
  </si>
  <si>
    <t>Вентилятор Ц14-46 N8 3718 22кВт</t>
  </si>
  <si>
    <t xml:space="preserve">00032266 </t>
  </si>
  <si>
    <t>Насос КМ-80/50 1443 Пр-80 м3/ч</t>
  </si>
  <si>
    <t xml:space="preserve">00032306 </t>
  </si>
  <si>
    <t xml:space="preserve">Уст-ка низковольтная конденсаторная 2038 1065 </t>
  </si>
  <si>
    <t>01.07.1989 0:00:00</t>
  </si>
  <si>
    <t xml:space="preserve">00032421 </t>
  </si>
  <si>
    <t>Машина холодильная ФМ-45 2571 380/220В</t>
  </si>
  <si>
    <t xml:space="preserve">00032492 </t>
  </si>
  <si>
    <t>Машина холодильная 2ФМ-ФУ-40 357 380/220В</t>
  </si>
  <si>
    <t>01.08.1989 0:00:00</t>
  </si>
  <si>
    <t xml:space="preserve">00032718 </t>
  </si>
  <si>
    <t>Счетчик аэрозольных частиц    АЗ-6 ПК ГТА-0,3-002 89168 220В 50Гц</t>
  </si>
  <si>
    <t>01.09.1989 0:00:00</t>
  </si>
  <si>
    <t xml:space="preserve">00032950 </t>
  </si>
  <si>
    <t>Вентилятор В-Ц-14-46 N5 4112 7,5кВт</t>
  </si>
  <si>
    <t>01.11.1989 0:00:00</t>
  </si>
  <si>
    <t xml:space="preserve">00032951 </t>
  </si>
  <si>
    <t>Вентилятор В-Ц-14-46 N5 4113 7,5кВт</t>
  </si>
  <si>
    <t xml:space="preserve">00032952 </t>
  </si>
  <si>
    <t>Вентилятор В-Ц-14-46 N5 4120 7,5кВт</t>
  </si>
  <si>
    <t xml:space="preserve">00033357 </t>
  </si>
  <si>
    <t>Вентилятор ВЦП6-45 N5 1214 7,5кВт</t>
  </si>
  <si>
    <t>01.02.1990 0:00:00</t>
  </si>
  <si>
    <t xml:space="preserve">00033358 </t>
  </si>
  <si>
    <t>Вентилятор ВЦП6-45 N6,3 1114 11кВт</t>
  </si>
  <si>
    <t xml:space="preserve">00033416 </t>
  </si>
  <si>
    <t>Стеллаж Ш8М4.124.382 01 35кГ</t>
  </si>
  <si>
    <t>01.03.1990 0:00:00</t>
  </si>
  <si>
    <t xml:space="preserve">00033716 </t>
  </si>
  <si>
    <t>Гигрометр Байкал-1М 1890 220В 50Гц</t>
  </si>
  <si>
    <t>01.05.1990 0:00:00</t>
  </si>
  <si>
    <t xml:space="preserve">00033872 </t>
  </si>
  <si>
    <t>Дистиллятор 92.02.26.134 27 1,5х1,2х1,38</t>
  </si>
  <si>
    <t>01.06.1990 0:00:00</t>
  </si>
  <si>
    <t xml:space="preserve">00033873 </t>
  </si>
  <si>
    <t>Дистиллятор 92.02.26.134 28 1,5х1,2х1,38</t>
  </si>
  <si>
    <t xml:space="preserve">00033874 </t>
  </si>
  <si>
    <t>Дистиллятор 92.02.26.134 29 1,5х1,2х1,38</t>
  </si>
  <si>
    <t xml:space="preserve">00033913 </t>
  </si>
  <si>
    <t>Машина листогибочная  317 t=2мм</t>
  </si>
  <si>
    <t xml:space="preserve">00033916 </t>
  </si>
  <si>
    <t xml:space="preserve">Эл.агрегат ЛБЧ-7230-ВПМ3-Ж 1532 </t>
  </si>
  <si>
    <t>01.07.1990 0:00:00</t>
  </si>
  <si>
    <t xml:space="preserve">00033917 </t>
  </si>
  <si>
    <t xml:space="preserve">Эл.агрегат АБЧ-Т230-ВПМ3-Ж б/н </t>
  </si>
  <si>
    <t xml:space="preserve">00033918 </t>
  </si>
  <si>
    <t xml:space="preserve">00034086 </t>
  </si>
  <si>
    <t>Прибор А565-003-01 050635 220В</t>
  </si>
  <si>
    <t xml:space="preserve">00034504 </t>
  </si>
  <si>
    <t>Прибор А-565-003-01 061382 220В 50Гц</t>
  </si>
  <si>
    <t>01.10.1990 0:00:00</t>
  </si>
  <si>
    <t xml:space="preserve">00034505 </t>
  </si>
  <si>
    <t>Прибор А-565-003-01 061465 220В 50Гц</t>
  </si>
  <si>
    <t xml:space="preserve">00034506 </t>
  </si>
  <si>
    <t>Прибор А-565-003-01 061385 220В 50Гц</t>
  </si>
  <si>
    <t xml:space="preserve">00034507 </t>
  </si>
  <si>
    <t>Прибор А-565-003-01 061464 220В 50Гц</t>
  </si>
  <si>
    <t xml:space="preserve">00034508 </t>
  </si>
  <si>
    <t>Прибор А-565-003-01 061383 220В 50Гц</t>
  </si>
  <si>
    <t xml:space="preserve">00034509 </t>
  </si>
  <si>
    <t>Прибор А-565-003-01 061297 220В 50Гц</t>
  </si>
  <si>
    <t xml:space="preserve">00034510 </t>
  </si>
  <si>
    <t>Прибор А-565-003-01 061921 220В 50Гц</t>
  </si>
  <si>
    <t xml:space="preserve">00034516 </t>
  </si>
  <si>
    <t>Преобразователь промышленный П-215 0845 380/220В</t>
  </si>
  <si>
    <t xml:space="preserve">00034517 </t>
  </si>
  <si>
    <t>Преобразователь промышленный П-215 0884 380/220В</t>
  </si>
  <si>
    <t xml:space="preserve">00034518 </t>
  </si>
  <si>
    <t>РН-метр автоматический промышленный РН-220 2349 220В 50Гц</t>
  </si>
  <si>
    <t xml:space="preserve">00034653 </t>
  </si>
  <si>
    <t>Гигрометр кулонометрический Байкал-2М 1916 220В 50Гц</t>
  </si>
  <si>
    <t xml:space="preserve">00034654 </t>
  </si>
  <si>
    <t>Гигрометр кулонометрический Байкал-2М 1912 220В 50Гц</t>
  </si>
  <si>
    <t xml:space="preserve">00034687 </t>
  </si>
  <si>
    <t>Трубогиб 05ГИ60-02 5 380/220В</t>
  </si>
  <si>
    <t xml:space="preserve">00034796 </t>
  </si>
  <si>
    <t>Насос КМ100-80х160 0588 100м3/ч</t>
  </si>
  <si>
    <t>01.12.1990 0:00:00</t>
  </si>
  <si>
    <t xml:space="preserve">00034797 </t>
  </si>
  <si>
    <t>Вентилятор Ц14-46 N5 19499 7,5кВт</t>
  </si>
  <si>
    <t xml:space="preserve">00034798 </t>
  </si>
  <si>
    <t>Вентилятор Ц14-46 N5 19500 7,5кВт</t>
  </si>
  <si>
    <t xml:space="preserve">00034877 </t>
  </si>
  <si>
    <t>Компрессор воздушный 305ВП-16/70 113539 220В</t>
  </si>
  <si>
    <t xml:space="preserve">00034884 </t>
  </si>
  <si>
    <t>Уст-ка деионизации воды УЦ-10С б/н 220В</t>
  </si>
  <si>
    <t xml:space="preserve">00034885 </t>
  </si>
  <si>
    <t>Уст-ка осушки воздуха А-1000 219 220В</t>
  </si>
  <si>
    <t xml:space="preserve">00035150 </t>
  </si>
  <si>
    <t>Насос 200Д 906 2014 540м3/ч</t>
  </si>
  <si>
    <t xml:space="preserve">00035461 </t>
  </si>
  <si>
    <t>Сигнализатор наличия 6-тивалент.хрома СХ-1М1 0093 220В 50Гц</t>
  </si>
  <si>
    <t>01.04.1991 0:00:00</t>
  </si>
  <si>
    <t xml:space="preserve">00035543 </t>
  </si>
  <si>
    <t>Известегасилка СМ-1247А 1127 380/220В</t>
  </si>
  <si>
    <t>01.03.1991 0:00:00</t>
  </si>
  <si>
    <t xml:space="preserve">00035651 </t>
  </si>
  <si>
    <t>Колориметр фотоэлектрический концентрац КФК-ГМП 9100119 220В 50Гц</t>
  </si>
  <si>
    <t>01.03.1992 0:00:00</t>
  </si>
  <si>
    <t xml:space="preserve">00035656 </t>
  </si>
  <si>
    <t>Вольтметр В7-40/3 209791 220В 50Гц</t>
  </si>
  <si>
    <t>01.05.1991 0:00:00</t>
  </si>
  <si>
    <t xml:space="preserve">00035792 </t>
  </si>
  <si>
    <t>Вентилятор ВЦ-14-46 N5 16353 380/220В</t>
  </si>
  <si>
    <t>01.07.1991 0:00:00</t>
  </si>
  <si>
    <t xml:space="preserve">00035793 </t>
  </si>
  <si>
    <t>Вентилятор ВЦ-14-46 N5 16661 380/220В</t>
  </si>
  <si>
    <t xml:space="preserve">00035875 </t>
  </si>
  <si>
    <t xml:space="preserve">Камера КСО-272 б/н </t>
  </si>
  <si>
    <t xml:space="preserve">00035876 </t>
  </si>
  <si>
    <t xml:space="preserve">00035877 </t>
  </si>
  <si>
    <t xml:space="preserve">00035878 </t>
  </si>
  <si>
    <t xml:space="preserve">00035879 </t>
  </si>
  <si>
    <t xml:space="preserve">00035880 </t>
  </si>
  <si>
    <t xml:space="preserve">00035881 </t>
  </si>
  <si>
    <t xml:space="preserve">00035882 </t>
  </si>
  <si>
    <t>Газоанализатор Циркон-М 1031 220В 50Гц</t>
  </si>
  <si>
    <t xml:space="preserve">00035883 </t>
  </si>
  <si>
    <t>Газоанализатор Циркон-М 1069 220В 50Гц</t>
  </si>
  <si>
    <t xml:space="preserve">00036007 </t>
  </si>
  <si>
    <t>Вентилятор Ц-14-46  N6,3 11369 11кВт</t>
  </si>
  <si>
    <t>01.08.1991 0:00:00</t>
  </si>
  <si>
    <t xml:space="preserve">00036008 </t>
  </si>
  <si>
    <t>Вентилятор Ц-14-46  N6,3 11370 11кВт</t>
  </si>
  <si>
    <t xml:space="preserve">00036096 </t>
  </si>
  <si>
    <t xml:space="preserve">Камера КСО-287 129780 </t>
  </si>
  <si>
    <t>01.09.1991 0:00:00</t>
  </si>
  <si>
    <t xml:space="preserve">00036097 </t>
  </si>
  <si>
    <t xml:space="preserve">Камера КСО-287 129781 </t>
  </si>
  <si>
    <t xml:space="preserve">00036098 </t>
  </si>
  <si>
    <t xml:space="preserve">Камера КСО-287 129782 </t>
  </si>
  <si>
    <t xml:space="preserve">00036099 </t>
  </si>
  <si>
    <t xml:space="preserve">Камера КСО-287 129783 </t>
  </si>
  <si>
    <t xml:space="preserve">00036101 </t>
  </si>
  <si>
    <t xml:space="preserve">Трансформаторная подстанция КТП630-10/04-84 30926 </t>
  </si>
  <si>
    <t xml:space="preserve">00036103 </t>
  </si>
  <si>
    <t>Насос 200Д-0,05 566 540м3/ч</t>
  </si>
  <si>
    <t xml:space="preserve">00036205 </t>
  </si>
  <si>
    <t>Выпрямитель ТПП 160/70 325 220В</t>
  </si>
  <si>
    <t>01.10.1991 0:00:00</t>
  </si>
  <si>
    <t xml:space="preserve">00036251 </t>
  </si>
  <si>
    <t>Влагомер-указатель точки росы Г-2-72 3178258 220В 50Гц</t>
  </si>
  <si>
    <t>01.11.1991 0:00:00</t>
  </si>
  <si>
    <t xml:space="preserve">00036252 </t>
  </si>
  <si>
    <t>Влагомер-указатель точки росы Г-2-72 3178260 220В 50Гц</t>
  </si>
  <si>
    <t xml:space="preserve">00036253 </t>
  </si>
  <si>
    <t>Иономер лабораторный И-130 3349 220В 50Гц</t>
  </si>
  <si>
    <t xml:space="preserve">00036460 </t>
  </si>
  <si>
    <t>Газификатор ГХК-3/16-200 б/н 220/380В</t>
  </si>
  <si>
    <t>01.12.1991 0:00:00</t>
  </si>
  <si>
    <t xml:space="preserve">00036462 </t>
  </si>
  <si>
    <t>Эл.двигатель с устройством возбуждения СТД б/н 220/380В</t>
  </si>
  <si>
    <t xml:space="preserve">00036475 </t>
  </si>
  <si>
    <t>Прибор Флюорит М 212 220В 50Гц</t>
  </si>
  <si>
    <t>01.01.1992 0:00:00</t>
  </si>
  <si>
    <t xml:space="preserve">00036509 </t>
  </si>
  <si>
    <t>Трансформатор ТМ3-630/6 360888 ВеВ-6170кг</t>
  </si>
  <si>
    <t>01.12.1992 0:00:00</t>
  </si>
  <si>
    <t xml:space="preserve">00036510 </t>
  </si>
  <si>
    <t>Трансформатор ТМ3-630/6 361020 Вес6170кг</t>
  </si>
  <si>
    <t xml:space="preserve">00036757 </t>
  </si>
  <si>
    <t>Преобразователь промышленный П-215 2157 220В 50Гц</t>
  </si>
  <si>
    <t>01.04.1992 0:00:00</t>
  </si>
  <si>
    <t xml:space="preserve">00036758 </t>
  </si>
  <si>
    <t xml:space="preserve">00036759 </t>
  </si>
  <si>
    <t xml:space="preserve">00036760 </t>
  </si>
  <si>
    <t xml:space="preserve">00036761 </t>
  </si>
  <si>
    <t xml:space="preserve">00036762 </t>
  </si>
  <si>
    <t xml:space="preserve">00036854 </t>
  </si>
  <si>
    <t>Фотометр фотоэлектрический КФК-3 9112499 220В 50Гц</t>
  </si>
  <si>
    <t xml:space="preserve">00036967 </t>
  </si>
  <si>
    <t>Прибор Флюорит М 378 220В 50Гц</t>
  </si>
  <si>
    <t>01.06.1992 0:00:00</t>
  </si>
  <si>
    <t xml:space="preserve">00036968 </t>
  </si>
  <si>
    <t>Прибор Флюорит М 395 220В 50Гц</t>
  </si>
  <si>
    <t xml:space="preserve">00036969 </t>
  </si>
  <si>
    <t>Прибор Флюорит М 302 220В 50Гц</t>
  </si>
  <si>
    <t xml:space="preserve">00037176 </t>
  </si>
  <si>
    <t>Прибор самопишущий многопредельный ЭН3001  220В</t>
  </si>
  <si>
    <t>01.11.1992 0:00:00</t>
  </si>
  <si>
    <t xml:space="preserve">00037177 </t>
  </si>
  <si>
    <t xml:space="preserve">00037178 </t>
  </si>
  <si>
    <t xml:space="preserve">00037295 </t>
  </si>
  <si>
    <t>Стенд очистки жидкостей СОГ-914 1741 380В</t>
  </si>
  <si>
    <t xml:space="preserve">00037322 </t>
  </si>
  <si>
    <t>СТЕНД очистки жидкостей СОГ-914 2 380в</t>
  </si>
  <si>
    <t xml:space="preserve">00037332 </t>
  </si>
  <si>
    <t xml:space="preserve">Вентилятор Ц14-46 N6.3 б/н </t>
  </si>
  <si>
    <t xml:space="preserve">00037333 </t>
  </si>
  <si>
    <t xml:space="preserve">00037334 </t>
  </si>
  <si>
    <t xml:space="preserve">Вентилятор Ц14-46N6.3 б/н </t>
  </si>
  <si>
    <t xml:space="preserve">00037335 </t>
  </si>
  <si>
    <t xml:space="preserve">00037336 </t>
  </si>
  <si>
    <t xml:space="preserve">00037337 </t>
  </si>
  <si>
    <t xml:space="preserve">Вентилятор Ц4-75N3.15 б/н </t>
  </si>
  <si>
    <t xml:space="preserve">00037338 </t>
  </si>
  <si>
    <t xml:space="preserve">00037339 </t>
  </si>
  <si>
    <t xml:space="preserve">00037340 </t>
  </si>
  <si>
    <t xml:space="preserve">00037341 </t>
  </si>
  <si>
    <t xml:space="preserve">Вентилятор Ц-14-45 N5 б/н </t>
  </si>
  <si>
    <t xml:space="preserve">00037342 </t>
  </si>
  <si>
    <t xml:space="preserve">00037343 </t>
  </si>
  <si>
    <t xml:space="preserve">Вентилятор Ц14-45N5 б/н </t>
  </si>
  <si>
    <t xml:space="preserve">00037344 </t>
  </si>
  <si>
    <t xml:space="preserve">Насос К М-80-50-200 б/н </t>
  </si>
  <si>
    <t xml:space="preserve">00037345 </t>
  </si>
  <si>
    <t xml:space="preserve">Насос КМ-80=50-200 б/н </t>
  </si>
  <si>
    <t xml:space="preserve">00037355 </t>
  </si>
  <si>
    <t xml:space="preserve">Вентилятор Ц4-75N4 б/н </t>
  </si>
  <si>
    <t xml:space="preserve">00037356 </t>
  </si>
  <si>
    <t xml:space="preserve">00037357 </t>
  </si>
  <si>
    <t xml:space="preserve">00037358 </t>
  </si>
  <si>
    <t xml:space="preserve">00037413 </t>
  </si>
  <si>
    <t xml:space="preserve">Кондиционер КS-4W 436/90 </t>
  </si>
  <si>
    <t>01.03.1993 0:00:00</t>
  </si>
  <si>
    <t xml:space="preserve">00037622 </t>
  </si>
  <si>
    <t>Вентилятор ВЦ 14-46 6,3 026 б/н 15кв</t>
  </si>
  <si>
    <t>01.12.1993 0:00:00</t>
  </si>
  <si>
    <t xml:space="preserve">00037623 </t>
  </si>
  <si>
    <t>Вентилятор ВЦ 14-46 6,3026 б/н 15кв</t>
  </si>
  <si>
    <t xml:space="preserve">00037624 </t>
  </si>
  <si>
    <t>Вентилятор Ц14-46 6,3 ЛО б/н 15кв</t>
  </si>
  <si>
    <t xml:space="preserve">00037625 </t>
  </si>
  <si>
    <t xml:space="preserve">00037626 </t>
  </si>
  <si>
    <t>Вентилятор ВЦ 14-46 5 015кр б/н 7,5кв</t>
  </si>
  <si>
    <t xml:space="preserve">00037627 </t>
  </si>
  <si>
    <t>Вентилятор ВЦ 14-46 5 015КР б/н 7,5квт</t>
  </si>
  <si>
    <t xml:space="preserve">00037628 </t>
  </si>
  <si>
    <t>Вентилятор ВЦ14-46 5 1320ЛО б/н 7,5кв</t>
  </si>
  <si>
    <t xml:space="preserve">00037629 </t>
  </si>
  <si>
    <t xml:space="preserve">00037630 </t>
  </si>
  <si>
    <t>Вентилятор ВЦ 14-46 3,15 б/н 1,5квт</t>
  </si>
  <si>
    <t xml:space="preserve">00037631 </t>
  </si>
  <si>
    <t xml:space="preserve">00037632 </t>
  </si>
  <si>
    <t xml:space="preserve">00037633 </t>
  </si>
  <si>
    <t xml:space="preserve">00037634 </t>
  </si>
  <si>
    <t xml:space="preserve">00037635 </t>
  </si>
  <si>
    <t xml:space="preserve">00037636 </t>
  </si>
  <si>
    <t xml:space="preserve">00037637 </t>
  </si>
  <si>
    <t xml:space="preserve">00037638 </t>
  </si>
  <si>
    <t>Вентилятор ВЦ 14-46 2,5 ВЦ 14-46 2,5 б/н. 0,75квт</t>
  </si>
  <si>
    <t xml:space="preserve">00037639 </t>
  </si>
  <si>
    <t>Вентилятор ВЦ 14-46 2,5 ВЦ 14-46 2,5 б/н 0,75квт</t>
  </si>
  <si>
    <t xml:space="preserve">00037640 </t>
  </si>
  <si>
    <t xml:space="preserve">00037641 </t>
  </si>
  <si>
    <t xml:space="preserve">00037642 </t>
  </si>
  <si>
    <t>Вентилятор ВЦ 14-46 2,5 ВЦ 14-46 2,5. б/н 0,75квт</t>
  </si>
  <si>
    <t xml:space="preserve">00037692 </t>
  </si>
  <si>
    <t>Силовой масленный трансформатор ТМВМ-1000-6/04 706188 Для пон.напр</t>
  </si>
  <si>
    <t>01.04.1994 0:00:00</t>
  </si>
  <si>
    <t xml:space="preserve">00037778 </t>
  </si>
  <si>
    <t>Компрессор 2ВМ4-27/9 б/н Мощ.144квт</t>
  </si>
  <si>
    <t>01.02.1997 0:00:00</t>
  </si>
  <si>
    <t xml:space="preserve">00037782 </t>
  </si>
  <si>
    <t>Установка азотная АаЖ-0.6 б/н 936м3/час</t>
  </si>
  <si>
    <t xml:space="preserve">00037785 </t>
  </si>
  <si>
    <t>Компресор 305ВП 16/70 305ВП 16/70 2104 16м3/мин</t>
  </si>
  <si>
    <t>01.05.1997 0:00:00</t>
  </si>
  <si>
    <t xml:space="preserve">00037786 </t>
  </si>
  <si>
    <t>Компрессор 305ВП 16/70 305ВП 16/70 94437 16м3/мин</t>
  </si>
  <si>
    <t xml:space="preserve">00037824 </t>
  </si>
  <si>
    <t>Кондиционер КТЦ - 60 КТЦ - 60 4478 Произ.60тыс</t>
  </si>
  <si>
    <t>01.12.1999 0:00:00</t>
  </si>
  <si>
    <t xml:space="preserve">00037825 </t>
  </si>
  <si>
    <t>Кондиционер КТЦ - 60 КТЦ - 60 4492 Пр.60тыс.м3</t>
  </si>
  <si>
    <t xml:space="preserve">00037826 </t>
  </si>
  <si>
    <t>Подстанция КТП- 630 КТП - 630 5321 50гц,0.69квт</t>
  </si>
  <si>
    <t xml:space="preserve">00037846 </t>
  </si>
  <si>
    <t>Вентилятор ВЦ 14-46 N4 б/н v-220</t>
  </si>
  <si>
    <t>01.05.2000 0:00:00</t>
  </si>
  <si>
    <t xml:space="preserve">00037847 </t>
  </si>
  <si>
    <t>Вентилятор ВЦ 14-46 N5 б/н V-220</t>
  </si>
  <si>
    <t xml:space="preserve">00037860 </t>
  </si>
  <si>
    <t>Вентилятор Ц14-46 N 5 Ц14-46 N 5 388 7.5квт</t>
  </si>
  <si>
    <t>01.08.2000 0:00:00</t>
  </si>
  <si>
    <t xml:space="preserve">00037875 </t>
  </si>
  <si>
    <t>Котел ДКВР 2.5/13 ДКВР 2.5/13  Паропр.2.5т/ч</t>
  </si>
  <si>
    <t>01.11.2000 0:00:00</t>
  </si>
  <si>
    <t xml:space="preserve">00037903 </t>
  </si>
  <si>
    <t xml:space="preserve">Щит ЩО-70 ЩО-70 б/н </t>
  </si>
  <si>
    <t>01.05.2001 0:00:00</t>
  </si>
  <si>
    <t xml:space="preserve">00037904 </t>
  </si>
  <si>
    <t>Щит ЩО-70 ЩО-70 б/н v-220вт</t>
  </si>
  <si>
    <t xml:space="preserve">00037905 </t>
  </si>
  <si>
    <t>Вентилятор Ц14-46 N5 01А 149 N=7.5квт</t>
  </si>
  <si>
    <t xml:space="preserve">00037912 </t>
  </si>
  <si>
    <t xml:space="preserve">Щит СП СП б/н </t>
  </si>
  <si>
    <t xml:space="preserve">00037913 </t>
  </si>
  <si>
    <t xml:space="preserve">00037914 </t>
  </si>
  <si>
    <t xml:space="preserve">00037915 </t>
  </si>
  <si>
    <t xml:space="preserve">00037916 </t>
  </si>
  <si>
    <t xml:space="preserve">00037917 </t>
  </si>
  <si>
    <t xml:space="preserve">00037918 </t>
  </si>
  <si>
    <t xml:space="preserve">Подстанция 2КТП 630/10 2КТП 630/10 б/н </t>
  </si>
  <si>
    <t xml:space="preserve">00037919 </t>
  </si>
  <si>
    <t xml:space="preserve">Шкаф распред.ОМ 1673 ОМ 1673 б/н </t>
  </si>
  <si>
    <t xml:space="preserve">00037942 </t>
  </si>
  <si>
    <t>Вентилятор Ц14-46 N5 К1 12 1000об/мин.</t>
  </si>
  <si>
    <t>01.08.2001 0:00:00</t>
  </si>
  <si>
    <t xml:space="preserve">00037972 </t>
  </si>
  <si>
    <t>Вентилятор Ц14-46 №6.3 Ц14-46 №6.3 315 п-950об/мин</t>
  </si>
  <si>
    <t>01.12.2001 0:00:00</t>
  </si>
  <si>
    <t xml:space="preserve">00038003 </t>
  </si>
  <si>
    <t>Автоматика для котельной АМКО-2-ПГ 094208 упр.котла</t>
  </si>
  <si>
    <t>01.03.2002 0:00:00</t>
  </si>
  <si>
    <t xml:space="preserve">00038004 </t>
  </si>
  <si>
    <t>Автоматика для котельной АМКО-2-ПГ 094207 упр.котла</t>
  </si>
  <si>
    <t xml:space="preserve">00038025 </t>
  </si>
  <si>
    <t>Вентилятро ВЦ-14-46-5,0И1-01А</t>
  </si>
  <si>
    <t>30.04.2008 0:00:00</t>
  </si>
  <si>
    <t xml:space="preserve">52700
52700
52700
52700 </t>
  </si>
  <si>
    <t xml:space="preserve">00038034 </t>
  </si>
  <si>
    <t xml:space="preserve">МАГНИТОЛА SHARP   </t>
  </si>
  <si>
    <t>31.12.2001 0:00:00</t>
  </si>
  <si>
    <t xml:space="preserve">00038037 </t>
  </si>
  <si>
    <t xml:space="preserve">МУЗЫКАЛЬНЫЙ ЦЕНТР "ПИОНЕР"   </t>
  </si>
  <si>
    <t xml:space="preserve">00038038 </t>
  </si>
  <si>
    <t xml:space="preserve">ХОЛОДИЛЬНИК "ЗИП"   </t>
  </si>
  <si>
    <t xml:space="preserve">00038044 </t>
  </si>
  <si>
    <t>Теплообменник КК 3288000 351306 для А-0.6</t>
  </si>
  <si>
    <t>01.06.2002 0:00:00</t>
  </si>
  <si>
    <t xml:space="preserve">00038049 </t>
  </si>
  <si>
    <t xml:space="preserve">ТЕПЛОСЧЕТЧИК ТСК-4-0-150   </t>
  </si>
  <si>
    <t xml:space="preserve">00038057 </t>
  </si>
  <si>
    <t xml:space="preserve">ПРИБОР ПГС-Н2   </t>
  </si>
  <si>
    <t xml:space="preserve">00038058 </t>
  </si>
  <si>
    <t xml:space="preserve">ПРИБОР ПГС-N2   </t>
  </si>
  <si>
    <t xml:space="preserve">00038060 </t>
  </si>
  <si>
    <t xml:space="preserve">ПРИБОР ИВТМ-7МК   </t>
  </si>
  <si>
    <t xml:space="preserve">00038061 </t>
  </si>
  <si>
    <t xml:space="preserve">ПРИБОР ИВГ-1МКП   </t>
  </si>
  <si>
    <t xml:space="preserve">00038265 </t>
  </si>
  <si>
    <t>Подогреватель пароводяных систем ПП1-21-2-11 356 с комп.дет.</t>
  </si>
  <si>
    <t>01.07.2002 0:00:00</t>
  </si>
  <si>
    <t xml:space="preserve">00038266 </t>
  </si>
  <si>
    <t>Подогреватели пароводяных систем ПП1-21-2-11 370 с комп.дет.</t>
  </si>
  <si>
    <t xml:space="preserve">00038287 </t>
  </si>
  <si>
    <t>Кондиционер КТЦ2-80 КТЦ2-80 614 N=37квт</t>
  </si>
  <si>
    <t>01.11.2002 0:00:00</t>
  </si>
  <si>
    <t xml:space="preserve">00038288 </t>
  </si>
  <si>
    <t>Кондиционер КТЦ2-80 КТЦ2-80 615 N=37квт</t>
  </si>
  <si>
    <t xml:space="preserve">00038303 </t>
  </si>
  <si>
    <t>Метран 22-ДД с БПД-40-2К 79518 6.3кПа</t>
  </si>
  <si>
    <t>01.01.2003 0:00:00</t>
  </si>
  <si>
    <t xml:space="preserve">00038304 </t>
  </si>
  <si>
    <t>Измерит.комплект СГ-ЭК-400/1.6 (газовый счетчик 2211095 дав.1.0-5.0</t>
  </si>
  <si>
    <t xml:space="preserve">00038307 </t>
  </si>
  <si>
    <t>Вентилятор ВЦ14-46-5К1 11/1500 2 N=11квт</t>
  </si>
  <si>
    <t>01.02.2003 0:00:00</t>
  </si>
  <si>
    <t xml:space="preserve">00038313 </t>
  </si>
  <si>
    <t>Сумматор СЭМ-1 СЭМ-1 296 10гц,15вт</t>
  </si>
  <si>
    <t>01.04.2003 0:00:00</t>
  </si>
  <si>
    <t xml:space="preserve">00038321 </t>
  </si>
  <si>
    <t>Вентилятолр Ц14-46-2.5-0.1А 133 N=0.75квт</t>
  </si>
  <si>
    <t>01.05.2003 0:00:00</t>
  </si>
  <si>
    <t xml:space="preserve">00038330 </t>
  </si>
  <si>
    <t>Вентилятор Ц14-46--5к1 6 N=4квт</t>
  </si>
  <si>
    <t xml:space="preserve">00038337 </t>
  </si>
  <si>
    <t>Установка регенерации растворителей AV-20 XF/н ADT 0202105 c с вакум.сис</t>
  </si>
  <si>
    <t>01.03.2004 0:00:00</t>
  </si>
  <si>
    <t xml:space="preserve">00038344 </t>
  </si>
  <si>
    <t>Компьютер с монитором "Pentium" б/н 220вт</t>
  </si>
  <si>
    <t>01.06.2003 0:00:00</t>
  </si>
  <si>
    <t xml:space="preserve">00038363 </t>
  </si>
  <si>
    <t>Вентилятор Ц14-46 №6.3 150 950об/мин</t>
  </si>
  <si>
    <t>01.08.2003 0:00:00</t>
  </si>
  <si>
    <t xml:space="preserve">00038378 </t>
  </si>
  <si>
    <t>Фильтр ФИПА1-1.0-0.6Na1 2156 24м3/ч</t>
  </si>
  <si>
    <t>01.11.2003 0:00:00</t>
  </si>
  <si>
    <t xml:space="preserve">00038379 </t>
  </si>
  <si>
    <t>Фильтр Фипа1-1.0-0.6Na1 2157 ск-30м3/ч</t>
  </si>
  <si>
    <t xml:space="preserve">00038382 </t>
  </si>
  <si>
    <t>Насос К8/18 К8/18 9452 мощ.1.5квт</t>
  </si>
  <si>
    <t>01.12.2003 0:00:00</t>
  </si>
  <si>
    <t xml:space="preserve">00038383 </t>
  </si>
  <si>
    <t>Насос К8/18 К8/18 8339 2900об/мин.</t>
  </si>
  <si>
    <t xml:space="preserve">00038392 </t>
  </si>
  <si>
    <t xml:space="preserve">Насос F430РР-40/33 Z-1000 F430PP-40/33 45707172 </t>
  </si>
  <si>
    <t>01.02.2004 0:00:00</t>
  </si>
  <si>
    <t xml:space="preserve">00038395 </t>
  </si>
  <si>
    <t>Вентилятор ВК11-5-4-1-02 0624 N=0.3квт.</t>
  </si>
  <si>
    <t xml:space="preserve">00038430 </t>
  </si>
  <si>
    <t>Вентилятор ВЦ14-46-4К1 N4 ВЦ14-46-4К1 N4 6 1400об/мин</t>
  </si>
  <si>
    <t>01.06.2004 0:00:00</t>
  </si>
  <si>
    <t xml:space="preserve">00038561 </t>
  </si>
  <si>
    <t>Вентилятор ВЦ14-46-5-01А ВЦ14-46-5-01А 0023 1000об/мин</t>
  </si>
  <si>
    <t>01.02.2005 0:00:00</t>
  </si>
  <si>
    <t xml:space="preserve">00038571 </t>
  </si>
  <si>
    <t>Вентилятор ВЦ-14-46-5-01А 78 1000 об/мин</t>
  </si>
  <si>
    <t>01.03.2005 0:00:00</t>
  </si>
  <si>
    <t xml:space="preserve">00038611 </t>
  </si>
  <si>
    <t>Вентилятор ВЦ14-46-4И1 62 1500об/мин</t>
  </si>
  <si>
    <t>01.12.2005 0:00:00</t>
  </si>
  <si>
    <t xml:space="preserve">00038642 </t>
  </si>
  <si>
    <t>Подогреватель СТД 3069 №1.6 СТД 3069 №1.6 6980 V-1.6м3</t>
  </si>
  <si>
    <t>01.04.2006 0:00:00</t>
  </si>
  <si>
    <t xml:space="preserve">00038657 </t>
  </si>
  <si>
    <t>Вентилятор ВЦ 14-46-5РК1 3 1500об/мин.</t>
  </si>
  <si>
    <t>01.06.2006 0:00:00</t>
  </si>
  <si>
    <t xml:space="preserve">00038671 </t>
  </si>
  <si>
    <t>Вентилятор ВЦ 14-46-4К1 7 5.5 КВт</t>
  </si>
  <si>
    <t>01.07.2006 0:00:00</t>
  </si>
  <si>
    <t xml:space="preserve">00038678 </t>
  </si>
  <si>
    <t>Компьютер Sempron 2500+ б/н 3.5"/17"/</t>
  </si>
  <si>
    <t xml:space="preserve">00038722 </t>
  </si>
  <si>
    <t>Вентилятор ВЦ14-46-4 594 5.5квт</t>
  </si>
  <si>
    <t>01.11.2006 0:00:00</t>
  </si>
  <si>
    <t xml:space="preserve">00038738 </t>
  </si>
  <si>
    <t>Фотометр КФК-3-01 0601162 50вт.15кг.</t>
  </si>
  <si>
    <t>01.12.2006 0:00:00</t>
  </si>
  <si>
    <t xml:space="preserve">00038781 </t>
  </si>
  <si>
    <t>Аппарат воздушный.дыхательный АВХ-У 371 29.4МПа</t>
  </si>
  <si>
    <t>01.04.2007 0:00:00</t>
  </si>
  <si>
    <t xml:space="preserve">00038782 </t>
  </si>
  <si>
    <t>Аппарат воздушный.дыхательный АВХ-У 372 бал.4 литр</t>
  </si>
  <si>
    <t xml:space="preserve">00038817 </t>
  </si>
  <si>
    <t>Фотометр КФК-3КМ</t>
  </si>
  <si>
    <t>29.12.2007 0:00:00</t>
  </si>
  <si>
    <t xml:space="preserve">00038819 </t>
  </si>
  <si>
    <t>Вентилятор Ц-14-46-4К1-01А</t>
  </si>
  <si>
    <t>31.03.2008 0:00:00</t>
  </si>
  <si>
    <t xml:space="preserve">00038821 </t>
  </si>
  <si>
    <t>Вентилятор ВР6-13-6,3В</t>
  </si>
  <si>
    <t xml:space="preserve">00038825 </t>
  </si>
  <si>
    <t>Вентилятор ВЦ-14-46-5,021-01</t>
  </si>
  <si>
    <t>30.06.2008 0:00:00</t>
  </si>
  <si>
    <t xml:space="preserve">00039108 </t>
  </si>
  <si>
    <t>Насос 1К150-125-315 с/дв 30</t>
  </si>
  <si>
    <t>31.03.2009 0:00:00</t>
  </si>
  <si>
    <t xml:space="preserve">00039131 </t>
  </si>
  <si>
    <t>Трубная система к ПП 1-21-211</t>
  </si>
  <si>
    <t>31.05.2009 0:00:00</t>
  </si>
  <si>
    <t xml:space="preserve">00039132 </t>
  </si>
  <si>
    <t>Турбодетандер ДТ-0,6/4</t>
  </si>
  <si>
    <t xml:space="preserve">0038786  </t>
  </si>
  <si>
    <t>Насос ЭЦВ6-10-140</t>
  </si>
  <si>
    <t>30.06.2007 0:00:00</t>
  </si>
  <si>
    <t xml:space="preserve">0038799  </t>
  </si>
  <si>
    <t>Насос ЦВК 5/125</t>
  </si>
  <si>
    <t>31.07.2007 0:00:00</t>
  </si>
  <si>
    <t xml:space="preserve">0038800  </t>
  </si>
  <si>
    <t>31.01.2008 0:00:00</t>
  </si>
  <si>
    <t xml:space="preserve">0038801  </t>
  </si>
  <si>
    <t>Арктис сепаратор циклонного типа Ц50/10</t>
  </si>
  <si>
    <t>31.08.2007 0:00:00</t>
  </si>
  <si>
    <t xml:space="preserve">0038827  </t>
  </si>
  <si>
    <t>Вентилятор ВЦ14-46-6,3К1-01</t>
  </si>
  <si>
    <t>Итог по регистру:</t>
  </si>
  <si>
    <t>Ответственный за составление регистра:</t>
  </si>
  <si>
    <t>(подпись)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</si>
  <si>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</si>
  <si>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</si>
  <si>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</si>
  <si>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</si>
  <si>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</si>
  <si>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</si>
  <si>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</si>
  <si>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</si>
  <si>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</si>
  <si>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</si>
  <si>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</si>
  <si>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СН, всего</t>
  </si>
  <si>
    <t>СН-1 (35 кВ), всего</t>
  </si>
  <si>
    <t>СН-2 (6-10 кВ), всего</t>
  </si>
  <si>
    <t>Продолжение Таблицы № П2.1</t>
  </si>
  <si>
    <t xml:space="preserve">0,4 кВ </t>
  </si>
  <si>
    <t xml:space="preserve">до 1 кВ </t>
  </si>
  <si>
    <t>Примечание:</t>
  </si>
  <si>
    <t>Расчет расходов на оплату труда &lt;ОАО "ВОСХОД"&gt;</t>
  </si>
  <si>
    <t xml:space="preserve">Система условных единиц для распределения общей суммы тарифной выручки по классам напряжения </t>
  </si>
  <si>
    <t>Расчет амортизационных отчислений на восстановление основных производственных фондов &lt;ОАО "ВОСХОД"&gt;</t>
  </si>
  <si>
    <t>Калькуляция расходов, связанных с передачей электрической энергии ОАО "ВОСХОД"</t>
  </si>
  <si>
    <t>Расчет балансовой прибыли, принимаемой при установлении тарифов на передачу электрической энергии ОАО "ВОСХОД"</t>
  </si>
  <si>
    <t xml:space="preserve"> - При расчете условных единиц протяженность ВЛЭП-0,4 кВ от линии до ввода в здании не учитывается.</t>
  </si>
  <si>
    <t xml:space="preserve"> - Условные единицы по ВЛЭП-0,4 кВ учитывают трудозатраты на обслуживание и ремонт:                         </t>
  </si>
  <si>
    <t>2009 г.</t>
  </si>
  <si>
    <t xml:space="preserve"> 2008г.</t>
  </si>
  <si>
    <t>2008г.</t>
  </si>
  <si>
    <t xml:space="preserve">а) воздушных линий в здание и                                                                                                                                      </t>
  </si>
  <si>
    <t>б) линий с совместной подвеской проводов.</t>
  </si>
  <si>
    <t xml:space="preserve"> - Условные единицы по ВЛЭП 0,4-20 кВ учитывают трудозатраты оперативного персонала распределительных сетей 0,4-20 кВ..</t>
  </si>
  <si>
    <t xml:space="preserve"> - Кабельные вводы учтены в условных единицах КЛЭП напряжением до 1 кВ.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</si>
  <si>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</t>
  </si>
  <si>
    <t xml:space="preserve">Непроизводственные  расходы  (налоги   и другие обязательные платежи и сборы) </t>
  </si>
  <si>
    <t xml:space="preserve">Недополученный по независящим   причинам доход  </t>
  </si>
  <si>
    <t>Избыток средств, полученный в предыдущем периоде регулирования</t>
  </si>
  <si>
    <t xml:space="preserve">Расчетные    расходы   по   производству продукции (услуг) </t>
  </si>
  <si>
    <t xml:space="preserve">Тарифная ставка  рабочего  1 разряда с учетом дефлятора </t>
  </si>
  <si>
    <t xml:space="preserve">Тарифный коэффициент,  соответствующий ступени по оплате труда  </t>
  </si>
  <si>
    <t xml:space="preserve">Выплаты, связанные с режимом работы  с условиями труда 1 работника   </t>
  </si>
  <si>
    <t xml:space="preserve">Выплаты по  районному  коэффициенту  и северные надбавки   </t>
  </si>
  <si>
    <t xml:space="preserve">Итого среднемесячная оплата труда на 1 работника </t>
  </si>
  <si>
    <t xml:space="preserve">Расчет средств  на  оплату  труда  ППП (включенного в себестоимость) </t>
  </si>
  <si>
    <t xml:space="preserve">Расчет   средств   на   оплату   труда непромышленного персонала (включенного в балансовую прибыль) </t>
  </si>
  <si>
    <t xml:space="preserve">Численность, принятая для расчета (базовый период - фактическая)  </t>
  </si>
  <si>
    <t>Среднемесячная   оплата   труда  на  1 работника</t>
  </si>
  <si>
    <t>Итого   средства   на  оплату    труда непромышленного персонала</t>
  </si>
  <si>
    <t>Численность   всего,   принятая    для расчета (базовый период - фактическая)</t>
  </si>
  <si>
    <t>Таблица N П1.16</t>
  </si>
  <si>
    <t xml:space="preserve">5. </t>
  </si>
  <si>
    <t xml:space="preserve">Средняя норма амортизации </t>
  </si>
  <si>
    <t xml:space="preserve">6. </t>
  </si>
  <si>
    <t xml:space="preserve">Балансовая стоимость основных   производственных фондов  на  начало  периода </t>
  </si>
  <si>
    <t>Ввод основных производственных фондов</t>
  </si>
  <si>
    <t xml:space="preserve"> часы использования заявл.мощности</t>
  </si>
  <si>
    <t>СН2</t>
  </si>
  <si>
    <t xml:space="preserve">ВОСХОД </t>
  </si>
  <si>
    <t xml:space="preserve">Выбытие основных производственных фондов </t>
  </si>
  <si>
    <t>Средняя за отчетный  период стоимость  основных производственных фондов</t>
  </si>
  <si>
    <t>Сумма амортизационных отчислений</t>
  </si>
  <si>
    <t>1.17</t>
  </si>
  <si>
    <t>Таблица N П1.17</t>
  </si>
  <si>
    <t>тыс. руб</t>
  </si>
  <si>
    <t>&lt;*&gt; Заполняется в целом и отдельно по: производству электрической энергии, производству тепловой энергии, передаче электрической энергии, по передаче тепловой энергии.</t>
  </si>
  <si>
    <t>Примечание. При заполнении таблицы по передаче электрической энергии справочно указывается первоначальная стоимость основных фондов по уровням напряжения (ВН, СН1, СН11, НН).</t>
  </si>
  <si>
    <t xml:space="preserve"> часть затрат на оплату потерь сетей более высокого напряжения для смежных сетей</t>
  </si>
  <si>
    <r>
      <t xml:space="preserve"> дельта З</t>
    </r>
    <r>
      <rPr>
        <sz val="10"/>
        <rFont val="Arial"/>
        <family val="2"/>
      </rPr>
      <t>нн/сн11</t>
    </r>
  </si>
  <si>
    <t>вн</t>
  </si>
  <si>
    <t>сн1</t>
  </si>
  <si>
    <t>сн11</t>
  </si>
  <si>
    <t>Таблица N П1.17.1</t>
  </si>
  <si>
    <t>1. Линии электропередач</t>
  </si>
  <si>
    <t xml:space="preserve">ВЛЭП                  </t>
  </si>
  <si>
    <t xml:space="preserve">КЛЭП                  </t>
  </si>
  <si>
    <t xml:space="preserve">2. Подстанции         </t>
  </si>
  <si>
    <t>Всего (стр. 1 + стр. 2)</t>
  </si>
  <si>
    <t>Стоимость на начало регулируемого периода</t>
  </si>
  <si>
    <t>Выбытие основных производственных фондов</t>
  </si>
  <si>
    <t xml:space="preserve"> дельта Зпот сн11</t>
  </si>
  <si>
    <t xml:space="preserve"> дельта Зсн11/вн</t>
  </si>
  <si>
    <t xml:space="preserve"> дельта Зсн11/сн1</t>
  </si>
  <si>
    <t>Стоимость на конец регулируемого периода</t>
  </si>
  <si>
    <t>Среднегодовая стоимость</t>
  </si>
  <si>
    <t>Амортизация</t>
  </si>
  <si>
    <t xml:space="preserve">6.   </t>
  </si>
  <si>
    <t xml:space="preserve">6.1. </t>
  </si>
  <si>
    <t xml:space="preserve">6.2. </t>
  </si>
  <si>
    <t xml:space="preserve">6.4. </t>
  </si>
  <si>
    <t xml:space="preserve">7.   </t>
  </si>
  <si>
    <t xml:space="preserve">8.   </t>
  </si>
  <si>
    <t xml:space="preserve">9.   </t>
  </si>
  <si>
    <t xml:space="preserve">9.1. </t>
  </si>
  <si>
    <t xml:space="preserve">9.2. </t>
  </si>
  <si>
    <t xml:space="preserve">9.3. </t>
  </si>
  <si>
    <t xml:space="preserve">9.4. </t>
  </si>
  <si>
    <t xml:space="preserve">9.5. </t>
  </si>
  <si>
    <t xml:space="preserve">9.6.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</si>
  <si>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</si>
  <si>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</si>
  <si>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</si>
  <si>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</si>
  <si>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</si>
  <si>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 xml:space="preserve">15.  </t>
  </si>
  <si>
    <t xml:space="preserve">16.  </t>
  </si>
  <si>
    <t>Расчет ставки по оплате технологического расхода (потерь) электрической энергии на ее передачу по сетям ОАО "Восход"-КРЛЗ</t>
  </si>
  <si>
    <t>Таблица N П1.24.1</t>
  </si>
  <si>
    <t>Расчет платы за услуги по передаче тепловой энергии</t>
  </si>
  <si>
    <t>Гкал/ч</t>
  </si>
  <si>
    <t>Водяные   тепловые сети</t>
  </si>
  <si>
    <t xml:space="preserve">Паровые    тепловые сети </t>
  </si>
  <si>
    <t>Всего по ЭСО (теплосетевой организации)</t>
  </si>
  <si>
    <t>Затраты,   отнесенные     на передачу  тепловой   энергии (п.   11   табл.   П1.19.2), в т.ч.</t>
  </si>
  <si>
    <t>НН, всего</t>
  </si>
  <si>
    <t>- в т.ч на компенсацию потерь сетевой воды</t>
  </si>
  <si>
    <t xml:space="preserve">1.1. Вода на технологические цели: - всего </t>
  </si>
  <si>
    <t xml:space="preserve">1.2. Покупная энергия на производственные и хозяйственные нужды: всего, в т.ч. </t>
  </si>
  <si>
    <t>- на   компенсацию    потерь тепловой энергии</t>
  </si>
  <si>
    <t xml:space="preserve">- на   компенсацию    затрат электроэнергии </t>
  </si>
  <si>
    <t xml:space="preserve">Прибыль,    отнесенная    на передачу   тепловой  энергии (п. 8 табл. П1.21.4) </t>
  </si>
  <si>
    <t xml:space="preserve">Рентабельность (п. 2 / п. 1х 100%)  </t>
  </si>
  <si>
    <t>Необходимая валовая выручка, отнесенная на передачу тепловой энергии (п. 1 + п. 2)</t>
  </si>
  <si>
    <t>Расчетная   (присоединенная) тепловая мощность (нагрузка) по договорам</t>
  </si>
  <si>
    <t>Плата  за услуги по передаче тепловой энергии согласно формуле (44)</t>
  </si>
  <si>
    <t xml:space="preserve">тыс. руб./Гкал/ч </t>
  </si>
  <si>
    <t>1.24.1</t>
  </si>
  <si>
    <t>Примечание. Заполняется всего и отдельно по каждой СЦТ.</t>
  </si>
  <si>
    <t>руб./МВт.ч</t>
  </si>
  <si>
    <t xml:space="preserve">6.2.  </t>
  </si>
  <si>
    <t>Таблица N П1.28.1</t>
  </si>
  <si>
    <t>Гкал/час</t>
  </si>
  <si>
    <t>Общая ставка платы за тепловую мощность</t>
  </si>
  <si>
    <t xml:space="preserve">Общая составляющая постоянных расходов и прибыли энергоснабжающей организации   </t>
  </si>
  <si>
    <t xml:space="preserve">Средняя за период регулирования тепловая нагрузка (в виде пара  и  горячей  воды) всех потребителей  </t>
  </si>
  <si>
    <t xml:space="preserve">руб./Гкал/час </t>
  </si>
  <si>
    <t>Расчет ставок платы за тепловую мощность для потребителей пара и горячей воды по СЦТ (ЭСО)</t>
  </si>
  <si>
    <t>1.28.1</t>
  </si>
  <si>
    <t>1.28</t>
  </si>
  <si>
    <t>Расчет одноставочных экономически обоснованных тарифов на тепловую энергию по СЦТ (ЭСО)</t>
  </si>
  <si>
    <t>Таблица N П1.28</t>
  </si>
  <si>
    <t>Потребители</t>
  </si>
  <si>
    <t xml:space="preserve">Энергия, тыс.Гкал  </t>
  </si>
  <si>
    <t>Ставка за  мощность,  тыс.руб./Гкал/час</t>
  </si>
  <si>
    <t>Ставка за  энергию,  руб./Гкал</t>
  </si>
  <si>
    <t>Одноставочный тариф руб./ Гкал</t>
  </si>
  <si>
    <t>ПС83-РП1</t>
  </si>
  <si>
    <t>ПС83-РП2</t>
  </si>
  <si>
    <t>ПС83-РП3</t>
  </si>
  <si>
    <t>КЛ 6-10кВ, м</t>
  </si>
  <si>
    <t>РП1-ТП2</t>
  </si>
  <si>
    <t>РП2-ТП3</t>
  </si>
  <si>
    <t>РП3-ТП7</t>
  </si>
  <si>
    <t>РП3-ТП11</t>
  </si>
  <si>
    <t>Сумма реализации, тыс.руб.</t>
  </si>
  <si>
    <t>Потребитель, получающий тепловую энергию непосредственно с коллекторов ТЭЦ и котельных</t>
  </si>
  <si>
    <t>-  горячая вода</t>
  </si>
  <si>
    <t>- пар от 1.2 до 2.5 кгс/см2</t>
  </si>
  <si>
    <t>- пар от 2.5 до 7.О кгс/см2</t>
  </si>
  <si>
    <t>- пар от 7.0 до 13.0 кгс/см2</t>
  </si>
  <si>
    <t>- пар свыше 13.0 кгс/см2</t>
  </si>
  <si>
    <t>- острый и редуцированный пар</t>
  </si>
  <si>
    <t>Таблица N П1.28.2</t>
  </si>
  <si>
    <t>Расчет дифференцированных ставок за тепловую энергию для потребителей пара различных параметров и горячей воды по СЦТ (ЭСО)</t>
  </si>
  <si>
    <t>Приведенный удельный расход топлива на 1 Гкал теплоэнергии, отпущенной с коллекторов ТЭС</t>
  </si>
  <si>
    <t>кг/Гкал</t>
  </si>
  <si>
    <t>Тарифные ставки за энергию для потребителей пара</t>
  </si>
  <si>
    <t>руб./Гкал</t>
  </si>
  <si>
    <t xml:space="preserve">- отборный пар от 1.2 до 2.5 кгс/см2 </t>
  </si>
  <si>
    <t>- отборный пар от 2,5 до 7,0 кгс/см2</t>
  </si>
  <si>
    <t>- отборный пар от 7,0 до 13,0 кгс/см2</t>
  </si>
  <si>
    <t>- отборный пар свыше 13.0 кгс/см2</t>
  </si>
  <si>
    <t>Тарифная ставка за энергию для потребителей горячей воды с коллекторов ТЭС</t>
  </si>
  <si>
    <t>Удельный расход топлива на 1 Гкал теплоэнергии, отпущенной в виде горячей воды</t>
  </si>
  <si>
    <t xml:space="preserve">Другие затраты, относимые на себестоимость продукции, всего в т.ч. </t>
  </si>
  <si>
    <t>таб.П1.3</t>
  </si>
  <si>
    <t>Тарифные ставки за энергию для потребителей горячей воды</t>
  </si>
  <si>
    <t>1.28.2</t>
  </si>
  <si>
    <t>Отчисления на соц.нужды производственных рабочих</t>
  </si>
  <si>
    <t xml:space="preserve">Калькуляционные статьи затрат        </t>
  </si>
  <si>
    <t>Основная оплата труда производственных рабочих</t>
  </si>
  <si>
    <t>9.6.1.</t>
  </si>
  <si>
    <t>16.1.</t>
  </si>
  <si>
    <t xml:space="preserve">проверка ставок </t>
  </si>
  <si>
    <t xml:space="preserve">Калькуляционные статьи затрат         </t>
  </si>
  <si>
    <t xml:space="preserve">4.1. </t>
  </si>
  <si>
    <t xml:space="preserve">амортизация производственного оборудования    </t>
  </si>
  <si>
    <t>ЧИСЛ</t>
  </si>
  <si>
    <t>ср/мез з/п</t>
  </si>
  <si>
    <t>П-4</t>
  </si>
  <si>
    <t xml:space="preserve">ВН                                            </t>
  </si>
  <si>
    <t xml:space="preserve">СН1                                           </t>
  </si>
  <si>
    <t xml:space="preserve">СН11                                           </t>
  </si>
  <si>
    <t xml:space="preserve">НН                                            </t>
  </si>
  <si>
    <t xml:space="preserve">4.2. </t>
  </si>
  <si>
    <t xml:space="preserve">отчисления в ремонтный фонд                   </t>
  </si>
  <si>
    <t xml:space="preserve">4.3. </t>
  </si>
  <si>
    <t xml:space="preserve">Цеховые расходы                               </t>
  </si>
  <si>
    <t xml:space="preserve">Общехозяйственные расходы, всего в том числе: </t>
  </si>
  <si>
    <t xml:space="preserve">7.1. </t>
  </si>
  <si>
    <t xml:space="preserve">Целевые средства на НИОКР                      </t>
  </si>
  <si>
    <t xml:space="preserve">7.2. </t>
  </si>
  <si>
    <t xml:space="preserve">Средства на страхование                       </t>
  </si>
  <si>
    <t xml:space="preserve">7.3. </t>
  </si>
  <si>
    <t xml:space="preserve">7.4. </t>
  </si>
  <si>
    <t xml:space="preserve">7.5. </t>
  </si>
  <si>
    <t>Непроизводственные расходы (налоги  и    другие</t>
  </si>
  <si>
    <t xml:space="preserve">- налог на землю                              </t>
  </si>
  <si>
    <t xml:space="preserve">СН11                                          </t>
  </si>
  <si>
    <t xml:space="preserve">7.6. </t>
  </si>
  <si>
    <t>7.6.1.</t>
  </si>
  <si>
    <t xml:space="preserve">Арендная плата                                </t>
  </si>
  <si>
    <t xml:space="preserve">Недополученный по независящим причинам доход  </t>
  </si>
  <si>
    <t xml:space="preserve">Итого производственные расходы                </t>
  </si>
  <si>
    <t xml:space="preserve">ВН                                             </t>
  </si>
  <si>
    <t>Территориальная сетевая организация  ОАО "ВОСХОД"</t>
  </si>
  <si>
    <t xml:space="preserve">Полезный отпуск электроэнергии, млн. кВт.ч    </t>
  </si>
  <si>
    <t xml:space="preserve">Удельные расходы, руб./тыс. кВт.ч             </t>
  </si>
  <si>
    <t xml:space="preserve">Условно-постоянные затраты, в том числе:      </t>
  </si>
  <si>
    <t>13.1.</t>
  </si>
  <si>
    <t xml:space="preserve">Сумма общехозяйственных расходов              </t>
  </si>
  <si>
    <t>Таблица N П1.18.2</t>
  </si>
  <si>
    <t xml:space="preserve">Целевые средства на НИОКР         </t>
  </si>
  <si>
    <t>Прибыль  на  социальное развитие</t>
  </si>
  <si>
    <t xml:space="preserve"> в том числе</t>
  </si>
  <si>
    <t>Прибыль   от   товарной продукции,</t>
  </si>
  <si>
    <t>из них расходы на сбыт</t>
  </si>
  <si>
    <t>Период   регулирования</t>
  </si>
  <si>
    <t>Дополнительная  оплата  труда  производственных рабочих</t>
  </si>
  <si>
    <t>Расходы    по    содержанию   и    эксплуатации оборудования, в том числе:</t>
  </si>
  <si>
    <t>другие  расходы  по содержанию  и  эксплуатации оборудования</t>
  </si>
  <si>
    <t xml:space="preserve">Расходы по подготовке и  освоению  производства (пусковые работы) </t>
  </si>
  <si>
    <t xml:space="preserve">Плата за предельно допустимые  выбросы (сбросы) загрязняющих веществ  </t>
  </si>
  <si>
    <t>Отчисления   в  ремонтный  фонд  в  случае  его формирования</t>
  </si>
  <si>
    <t xml:space="preserve">обязательные платежи и сборы) всего,     в том числе:     </t>
  </si>
  <si>
    <t xml:space="preserve">Другие   затраты,  относимые  на  себестоимость продукции всего,  в том числе: </t>
  </si>
  <si>
    <t>Избыток  средств,   полученный   в   предыдущем периоде регулирования</t>
  </si>
  <si>
    <t xml:space="preserve">Итого производственные расходы в том числе:               </t>
  </si>
  <si>
    <t>Таблица N П1.19</t>
  </si>
  <si>
    <t xml:space="preserve">Топливо на технологические цели                  </t>
  </si>
  <si>
    <t xml:space="preserve">Вода на технологические цели                     </t>
  </si>
  <si>
    <t>1.1.1.</t>
  </si>
  <si>
    <t>Единицы измерения</t>
  </si>
  <si>
    <t>6кВ</t>
  </si>
  <si>
    <t>0,4кВ</t>
  </si>
  <si>
    <t>ООО "Техномир"</t>
  </si>
  <si>
    <t>ЗАО "Энергомаш"</t>
  </si>
  <si>
    <t>ЗАО"Алгонт"</t>
  </si>
  <si>
    <t>ОАО "ЭЛМАТ"</t>
  </si>
  <si>
    <t>ОАО "КЗАЭ"</t>
  </si>
  <si>
    <t>ИП Золочвская</t>
  </si>
  <si>
    <t>ИП Лейковский</t>
  </si>
  <si>
    <t>ЧП Бровкина ТВ</t>
  </si>
  <si>
    <t>ИП Бровкин ОН</t>
  </si>
  <si>
    <t>ДЮСШ</t>
  </si>
  <si>
    <t>население</t>
  </si>
  <si>
    <t>ЧП Тютенков</t>
  </si>
  <si>
    <t>ЧП Попов</t>
  </si>
  <si>
    <t>МУП Тролейбусное управление</t>
  </si>
  <si>
    <t>МУЗ Горбольница№4,Поликлиника№3</t>
  </si>
  <si>
    <t>ИП Яковлев</t>
  </si>
  <si>
    <t>ООО ТКВ Групп</t>
  </si>
  <si>
    <t>ООО ЮКИС-М</t>
  </si>
  <si>
    <t>ООО "Пеликан"</t>
  </si>
  <si>
    <t>ООО "Эколюм"</t>
  </si>
  <si>
    <t>ВКУФСИН</t>
  </si>
  <si>
    <t>ОАО "ВОСХОД"</t>
  </si>
  <si>
    <t>Прочие, тыс кВт.ч.</t>
  </si>
  <si>
    <t>Период регулирования  2008 г. Эксперты</t>
  </si>
  <si>
    <t>ЗАО "Микротех"</t>
  </si>
  <si>
    <t>Смета расходов  ОАО "ВОСХОД"</t>
  </si>
  <si>
    <t>Наименование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</si>
  <si>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</si>
  <si>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</si>
  <si>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</si>
  <si>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</si>
  <si>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</si>
  <si>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</si>
  <si>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</si>
  <si>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</si>
  <si>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</si>
  <si>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</si>
  <si>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</si>
  <si>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</si>
  <si>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</si>
  <si>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</si>
  <si>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</si>
  <si>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</si>
  <si>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</si>
  <si>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</si>
  <si>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</si>
  <si>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</si>
  <si>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</si>
  <si>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</si>
  <si>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</si>
  <si>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</si>
  <si>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</si>
  <si>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</si>
  <si>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Двухтрансфор-маторная ТП, КТП</t>
  </si>
  <si>
    <t xml:space="preserve">Однотрансфор-маторная подстанция 34/0,4 кВ </t>
  </si>
  <si>
    <t>п/ст</t>
  </si>
  <si>
    <t>Итого</t>
  </si>
  <si>
    <t xml:space="preserve">В п.1 учтены трудозатраты оперативного персонала подстанций напряжением 35-1150 кВ. </t>
  </si>
  <si>
    <t>Условные единицы по пп.2-9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</si>
  <si>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 xml:space="preserve">Условные единицы по п 2 "Силовые трансформаторы 1-20 кВ" определяются только для трансформаторов, используемых для собственных нужд подстанций 35-1150 кВ.  </t>
  </si>
  <si>
    <t>По пп. 3-6 учтены дополнительные трудозатраты на обслуживание и ремонт устройств релейной защиты  и автоматики, а для воздушных выключателей (п.3) - дополнительно трудозатраты по обслуживанию и ремонту компрессорных установок.</t>
  </si>
  <si>
    <t>Период регулирования Заявитель</t>
  </si>
  <si>
    <t xml:space="preserve">Средства на страхование  (автогражданка)              </t>
  </si>
  <si>
    <t xml:space="preserve"> проверка сходимости распределения затрат на оплату потерь </t>
  </si>
  <si>
    <t>Значение условных единиц пп.4 и 6  "Масляные выключатели  1-20 кВ" и "Выключатели нагрузки 1-20 кВ" относятся к коммутационным аппаратам, установленным в распределительных устройствах  1-20 кВ подстанций 35-1150 кВ , ТП, КТП и РП 1-20 кВ , а так же к секц</t>
  </si>
  <si>
    <t>Объем РП 1-20 кВ в условных единицах определяется по количеству установленных масляных выключателей (п.4) и выключателей нагрузки (п.6). При установке в РП трансформаторов 1-20/0,4 кВ дополнительные объемы обслуживания определяются по п.11 или  12.</t>
  </si>
  <si>
    <t>По пп.10-12 дополнительно учтены трудозатраты оперативного персонала распределительных сетей 0,4-20 кВ.</t>
  </si>
  <si>
    <t xml:space="preserve">По пп.1,2 условные единицы относятся на уровень напряжения, соответствующий нижней границе номинального напряжения.  </t>
  </si>
  <si>
    <t xml:space="preserve">Основная оплата труда производственных рабочих   </t>
  </si>
  <si>
    <t xml:space="preserve">амортизация производственного оборудования       </t>
  </si>
  <si>
    <t xml:space="preserve">отчисления в ремонтный фонд                      </t>
  </si>
  <si>
    <t xml:space="preserve">Цеховые расходы                                  </t>
  </si>
  <si>
    <t xml:space="preserve">Общехозяйственные расходы всего, в том числе:    </t>
  </si>
  <si>
    <t xml:space="preserve"> (3),</t>
  </si>
  <si>
    <t>, (4)</t>
  </si>
  <si>
    <t>(формула 5 МУ)</t>
  </si>
  <si>
    <t>Наименование показателя</t>
  </si>
  <si>
    <t>с ОАО "МРСК"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</si>
  <si>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</si>
  <si>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</si>
  <si>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</si>
  <si>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</si>
  <si>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</si>
  <si>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</si>
  <si>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</si>
  <si>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</si>
  <si>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</si>
  <si>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</si>
  <si>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</si>
  <si>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2012</t>
  </si>
  <si>
    <t xml:space="preserve">НВВ на содержание </t>
  </si>
  <si>
    <t>Услуги по передаче ээ Содерж, тыс.руб.</t>
  </si>
  <si>
    <t xml:space="preserve">Расходы на покупку потерь </t>
  </si>
  <si>
    <t xml:space="preserve">Компенсация затрат на покупку потерь, тыс. руб.  </t>
  </si>
  <si>
    <t xml:space="preserve">Итого, тыс. руб. </t>
  </si>
  <si>
    <t>Отпуск в сеть (по счетам с МРСК)  факт, тыс. кВтч</t>
  </si>
  <si>
    <t xml:space="preserve">Покупка потерь от КСК </t>
  </si>
  <si>
    <t>Цена (тариф) потерь, р./кВтч</t>
  </si>
  <si>
    <t xml:space="preserve">Объм потерь по счетам, кВтч </t>
  </si>
  <si>
    <t xml:space="preserve">Стоимость потерь,               тыс. руб.  </t>
  </si>
  <si>
    <t>Корректировка подконтрольных  расходов за 2012 год</t>
  </si>
  <si>
    <t xml:space="preserve">Скорректированые ПР, включаемые  в НВВ на очередной расчетный год (п. 11 МУ) </t>
  </si>
  <si>
    <t xml:space="preserve">Формула (5) МУ </t>
  </si>
  <si>
    <t>Таблица к формуле:</t>
  </si>
  <si>
    <t xml:space="preserve">Данная корректировка под вопросом </t>
  </si>
  <si>
    <t xml:space="preserve">Обсудить с экспертами </t>
  </si>
  <si>
    <t xml:space="preserve">                  - коэффициент эластичности подконтрольных расходов по количеству активов, необходимых для осуществления регулируемой деятельности, в отношении регулируемых организаций, осуществляющих передачу электрической энергии, равный 0,75;</t>
  </si>
  <si>
    <t xml:space="preserve">                     - индекс изменения количества активов, установленный в процентах на год i при расчете долгосрочных тарифов</t>
  </si>
  <si>
    <t xml:space="preserve">               - индекс эффективности подконтрольных расходов, установленный в процентах</t>
  </si>
  <si>
    <t xml:space="preserve">Утверждено в ДПР </t>
  </si>
  <si>
    <t>факт</t>
  </si>
  <si>
    <t xml:space="preserve">Амортизация </t>
  </si>
  <si>
    <t>2</t>
  </si>
  <si>
    <t>Энергия на хознужды</t>
  </si>
  <si>
    <t>3</t>
  </si>
  <si>
    <t>Отчисления на социальные нужды</t>
  </si>
  <si>
    <t>4</t>
  </si>
  <si>
    <t>Аренда</t>
  </si>
  <si>
    <t>Налоги, всего</t>
  </si>
  <si>
    <t>5.1</t>
  </si>
  <si>
    <t>плата за землю</t>
  </si>
  <si>
    <t>налог на имущество</t>
  </si>
  <si>
    <t>прочие налоги и сборы</t>
  </si>
  <si>
    <t>5.4</t>
  </si>
  <si>
    <t xml:space="preserve">налог на прибыль </t>
  </si>
  <si>
    <t>Прочие неподконтрольные расходы</t>
  </si>
  <si>
    <t xml:space="preserve">Выпадающие доходы/экономия средств </t>
  </si>
  <si>
    <t>Неподконтрольные всего (без ИПР)</t>
  </si>
  <si>
    <t>млн. кВтч</t>
  </si>
  <si>
    <t>Норматив потерь, рассчитанный по показателям стр. 1 и стр. 2</t>
  </si>
  <si>
    <t>руб/МВтч</t>
  </si>
  <si>
    <t>Плановые расходы на покупку потерь</t>
  </si>
  <si>
    <t xml:space="preserve">Норматив фактический </t>
  </si>
  <si>
    <r>
      <t xml:space="preserve">N </t>
    </r>
    <r>
      <rPr>
        <b/>
        <sz val="8"/>
        <rFont val="Times New Roman"/>
        <family val="1"/>
      </rPr>
      <t>норматив потерь</t>
    </r>
  </si>
  <si>
    <t xml:space="preserve">Цена покупки ээ в целях компенсации потерь средневзвешенная фактическая  </t>
  </si>
  <si>
    <t xml:space="preserve">Фактические расходы на покупку потерь </t>
  </si>
  <si>
    <t>Разница между фактической и утвержденной ценой</t>
  </si>
  <si>
    <t xml:space="preserve">Расчет корректировки с учетом изменения полезного отпуска и цен на электрическую энергию </t>
  </si>
  <si>
    <t>Отклонения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</si>
</sst>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%"/>
    <numFmt numFmtId="177" formatCode="0.000%"/>
    <numFmt numFmtId="178" formatCode="#,##0.000"/>
    <numFmt numFmtId="179" formatCode="General_)"/>
    <numFmt numFmtId="181" formatCode="&quot;$&quot;#,##0_);[Red]\(&quot;$&quot;#,##0\)"/>
    <numFmt numFmtId="212" formatCode="0.000000"/>
    <numFmt numFmtId="219" formatCode="#,##0.0"/>
    <numFmt numFmtId="223" formatCode="#,##0.0000"/>
    <numFmt numFmtId="230" formatCode="_-* #,##0.0_р_._-;\-* #,##0.0_р_._-;_-* &quot;-&quot;?_р_._-;_-@_-"/>
    <numFmt numFmtId="231" formatCode="#,##0.00000"/>
  </numFmts>
  <fonts count="164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.5"/>
      <name val="Times New Roman"/>
      <family val="1"/>
    </font>
    <font>
      <sz val="9"/>
      <name val="Courier New"/>
      <family val="3"/>
    </font>
    <font>
      <sz val="20"/>
      <name val="Courier New"/>
      <family val="3"/>
    </font>
    <font>
      <sz val="10"/>
      <color indexed="12"/>
      <name val="Courier New"/>
      <family val="3"/>
    </font>
    <font>
      <sz val="10.5"/>
      <name val="Arial"/>
      <family val="2"/>
    </font>
    <font>
      <sz val="10"/>
      <color indexed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sz val="10"/>
      <color indexed="48"/>
      <name val="Arial"/>
      <family val="2"/>
    </font>
    <font>
      <b/>
      <sz val="12"/>
      <color indexed="10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sz val="14"/>
      <color indexed="8"/>
      <name val="Arial"/>
      <family val="2"/>
    </font>
    <font>
      <sz val="10"/>
      <color indexed="55"/>
      <name val="Times New Roman CYR"/>
      <family val="0"/>
    </font>
    <font>
      <b/>
      <sz val="10"/>
      <name val="Times New Roman Cyr"/>
      <family val="1"/>
    </font>
    <font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8"/>
      <color indexed="10"/>
      <name val="Times New Roman Cyr"/>
      <family val="1"/>
    </font>
    <font>
      <sz val="11"/>
      <name val="Arial"/>
      <family val="2"/>
    </font>
    <font>
      <sz val="11"/>
      <name val="Times New Roman CYR"/>
      <family val="1"/>
    </font>
    <font>
      <b/>
      <sz val="11"/>
      <name val="Arial"/>
      <family val="2"/>
    </font>
    <font>
      <sz val="10"/>
      <color indexed="8"/>
      <name val="Courier New"/>
      <family val="3"/>
    </font>
    <font>
      <sz val="12"/>
      <color indexed="48"/>
      <name val="Arial"/>
      <family val="2"/>
    </font>
    <font>
      <sz val="10"/>
      <name val="Tahoma"/>
      <family val="2"/>
    </font>
    <font>
      <b/>
      <sz val="11"/>
      <name val="Arial Cyr"/>
      <family val="0"/>
    </font>
    <font>
      <b/>
      <sz val="11"/>
      <color indexed="55"/>
      <name val="Times New Roman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sz val="10"/>
      <name val="NTHarmonica"/>
      <family val="0"/>
    </font>
    <font>
      <b/>
      <sz val="12"/>
      <name val="Arial Cyr"/>
      <family val="0"/>
    </font>
    <font>
      <b/>
      <sz val="11"/>
      <color indexed="10"/>
      <name val="Arial"/>
      <family val="2"/>
    </font>
    <font>
      <sz val="10"/>
      <color indexed="12"/>
      <name val="Times New Roman CYR"/>
      <family val="0"/>
    </font>
    <font>
      <sz val="10"/>
      <color indexed="21"/>
      <name val="Arial Cyr"/>
      <family val="0"/>
    </font>
    <font>
      <b/>
      <sz val="11"/>
      <color indexed="10"/>
      <name val="Times New Roman Cyr"/>
      <family val="1"/>
    </font>
    <font>
      <b/>
      <sz val="12"/>
      <name val="Times New Roman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14"/>
      <color indexed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14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Arial"/>
      <family val="2"/>
    </font>
    <font>
      <sz val="12"/>
      <color indexed="10"/>
      <name val="Arial"/>
      <family val="2"/>
    </font>
    <font>
      <sz val="10"/>
      <color indexed="18"/>
      <name val="Arial Cyr"/>
      <family val="0"/>
    </font>
    <font>
      <sz val="12"/>
      <name val="Times New Roman Cyr"/>
      <family val="1"/>
    </font>
    <font>
      <sz val="12"/>
      <color indexed="1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 Cyr"/>
      <family val="1"/>
    </font>
    <font>
      <sz val="9"/>
      <color indexed="9"/>
      <name val="Tahoma"/>
      <family val="2"/>
    </font>
    <font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Arial Cyr"/>
      <family val="0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1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i/>
      <sz val="14"/>
      <color indexed="17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3"/>
      <name val="Times New Roman"/>
      <family val="1"/>
    </font>
    <font>
      <b/>
      <sz val="8"/>
      <name val="Arial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0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181" fontId="55" fillId="0" borderId="0" applyFon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 applyNumberFormat="0">
      <alignment horizontal="left"/>
      <protection/>
    </xf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179" fontId="0" fillId="0" borderId="1">
      <alignment/>
      <protection locked="0"/>
    </xf>
    <xf numFmtId="0" fontId="146" fillId="26" borderId="2" applyNumberFormat="0" applyAlignment="0" applyProtection="0"/>
    <xf numFmtId="0" fontId="147" fillId="27" borderId="3" applyNumberFormat="0" applyAlignment="0" applyProtection="0"/>
    <xf numFmtId="0" fontId="148" fillId="27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Border="0">
      <alignment horizontal="center" vertical="center" wrapText="1"/>
      <protection/>
    </xf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1" fillId="0" borderId="6" applyNumberFormat="0" applyFill="0" applyAlignment="0" applyProtection="0"/>
    <xf numFmtId="0" fontId="151" fillId="0" borderId="0" applyNumberFormat="0" applyFill="0" applyBorder="0" applyAlignment="0" applyProtection="0"/>
    <xf numFmtId="0" fontId="58" fillId="0" borderId="7" applyBorder="0">
      <alignment horizontal="center" vertical="center" wrapText="1"/>
      <protection/>
    </xf>
    <xf numFmtId="179" fontId="36" fillId="28" borderId="1">
      <alignment/>
      <protection/>
    </xf>
    <xf numFmtId="4" fontId="59" fillId="29" borderId="8" applyBorder="0">
      <alignment horizontal="right"/>
      <protection/>
    </xf>
    <xf numFmtId="0" fontId="152" fillId="0" borderId="9" applyNumberFormat="0" applyFill="0" applyAlignment="0" applyProtection="0"/>
    <xf numFmtId="0" fontId="153" fillId="30" borderId="10" applyNumberFormat="0" applyAlignment="0" applyProtection="0"/>
    <xf numFmtId="0" fontId="14" fillId="31" borderId="0" applyFill="0">
      <alignment wrapText="1"/>
      <protection/>
    </xf>
    <xf numFmtId="0" fontId="21" fillId="0" borderId="0">
      <alignment horizontal="center" vertical="top" wrapText="1"/>
      <protection/>
    </xf>
    <xf numFmtId="0" fontId="60" fillId="0" borderId="0">
      <alignment horizontal="center" vertical="center" wrapText="1"/>
      <protection/>
    </xf>
    <xf numFmtId="0" fontId="154" fillId="0" borderId="0" applyNumberFormat="0" applyFill="0" applyBorder="0" applyAlignment="0" applyProtection="0"/>
    <xf numFmtId="0" fontId="1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9" fontId="59" fillId="0" borderId="0" applyBorder="0">
      <alignment vertical="top"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6" fillId="33" borderId="0" applyNumberFormat="0" applyBorder="0" applyAlignment="0" applyProtection="0"/>
    <xf numFmtId="0" fontId="157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158" fillId="0" borderId="12" applyNumberFormat="0" applyFill="0" applyAlignment="0" applyProtection="0"/>
    <xf numFmtId="0" fontId="54" fillId="0" borderId="0">
      <alignment/>
      <protection/>
    </xf>
    <xf numFmtId="0" fontId="159" fillId="0" borderId="0" applyNumberFormat="0" applyFill="0" applyBorder="0" applyAlignment="0" applyProtection="0"/>
    <xf numFmtId="49" fontId="14" fillId="0" borderId="0">
      <alignment horizontal="center"/>
      <protection/>
    </xf>
    <xf numFmtId="169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9" fillId="31" borderId="0" applyBorder="0">
      <alignment horizontal="right"/>
      <protection/>
    </xf>
    <xf numFmtId="4" fontId="59" fillId="31" borderId="0" applyBorder="0">
      <alignment horizontal="right"/>
      <protection/>
    </xf>
    <xf numFmtId="4" fontId="59" fillId="35" borderId="13" applyBorder="0">
      <alignment horizontal="right"/>
      <protection/>
    </xf>
    <xf numFmtId="4" fontId="59" fillId="31" borderId="8" applyFont="0" applyBorder="0">
      <alignment horizontal="right"/>
      <protection/>
    </xf>
    <xf numFmtId="0" fontId="160" fillId="36" borderId="0" applyNumberFormat="0" applyBorder="0" applyAlignment="0" applyProtection="0"/>
  </cellStyleXfs>
  <cellXfs count="2136"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19" xfId="0" applyNumberFormat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1" fillId="0" borderId="0" xfId="70" applyNumberFormat="1" applyFont="1" applyFill="1" applyBorder="1" applyAlignment="1" applyProtection="1">
      <alignment vertical="top"/>
      <protection/>
    </xf>
    <xf numFmtId="0" fontId="1" fillId="0" borderId="0" xfId="70" applyNumberFormat="1" applyFont="1" applyFill="1" applyBorder="1" applyAlignment="1" applyProtection="1">
      <alignment vertical="top"/>
      <protection/>
    </xf>
    <xf numFmtId="0" fontId="6" fillId="0" borderId="0" xfId="70" applyNumberFormat="1" applyFont="1" applyFill="1" applyBorder="1" applyAlignment="1" applyProtection="1">
      <alignment vertical="top"/>
      <protection/>
    </xf>
    <xf numFmtId="0" fontId="6" fillId="0" borderId="0" xfId="70" applyNumberFormat="1" applyFont="1" applyFill="1" applyBorder="1" applyAlignment="1" applyProtection="1">
      <alignment vertical="top"/>
      <protection/>
    </xf>
    <xf numFmtId="0" fontId="1" fillId="0" borderId="13" xfId="70" applyNumberFormat="1" applyFont="1" applyFill="1" applyBorder="1" applyAlignment="1" applyProtection="1">
      <alignment vertical="top"/>
      <protection/>
    </xf>
    <xf numFmtId="0" fontId="6" fillId="0" borderId="14" xfId="70" applyNumberFormat="1" applyFont="1" applyFill="1" applyBorder="1" applyAlignment="1" applyProtection="1">
      <alignment horizontal="center" vertical="center" wrapText="1"/>
      <protection/>
    </xf>
    <xf numFmtId="0" fontId="1" fillId="0" borderId="14" xfId="70" applyNumberFormat="1" applyFont="1" applyFill="1" applyBorder="1" applyAlignment="1" applyProtection="1">
      <alignment horizontal="center" vertical="center" wrapText="1"/>
      <protection/>
    </xf>
    <xf numFmtId="0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0" xfId="70" applyNumberFormat="1" applyFont="1" applyFill="1" applyBorder="1" applyAlignment="1" applyProtection="1">
      <alignment horizontal="center" vertical="center" wrapText="1"/>
      <protection/>
    </xf>
    <xf numFmtId="0" fontId="1" fillId="0" borderId="16" xfId="70" applyNumberFormat="1" applyFont="1" applyFill="1" applyBorder="1" applyAlignment="1" applyProtection="1">
      <alignment horizontal="center" vertical="top"/>
      <protection/>
    </xf>
    <xf numFmtId="0" fontId="1" fillId="0" borderId="8" xfId="70" applyNumberFormat="1" applyFont="1" applyFill="1" applyBorder="1" applyAlignment="1" applyProtection="1">
      <alignment horizontal="center" vertical="center"/>
      <protection/>
    </xf>
    <xf numFmtId="0" fontId="1" fillId="0" borderId="17" xfId="70" applyNumberFormat="1" applyFont="1" applyFill="1" applyBorder="1" applyAlignment="1" applyProtection="1">
      <alignment horizontal="center" vertical="center"/>
      <protection/>
    </xf>
    <xf numFmtId="0" fontId="1" fillId="0" borderId="16" xfId="70" applyNumberFormat="1" applyFont="1" applyFill="1" applyBorder="1" applyAlignment="1" applyProtection="1">
      <alignment horizontal="center" vertical="center"/>
      <protection/>
    </xf>
    <xf numFmtId="0" fontId="1" fillId="0" borderId="8" xfId="70" applyNumberFormat="1" applyFont="1" applyFill="1" applyBorder="1" applyAlignment="1" applyProtection="1">
      <alignment horizontal="left" vertical="center" wrapText="1"/>
      <protection/>
    </xf>
    <xf numFmtId="0" fontId="1" fillId="0" borderId="8" xfId="70" applyNumberFormat="1" applyFont="1" applyFill="1" applyBorder="1" applyAlignment="1" applyProtection="1">
      <alignment vertical="top"/>
      <protection/>
    </xf>
    <xf numFmtId="0" fontId="1" fillId="0" borderId="17" xfId="70" applyNumberFormat="1" applyFont="1" applyFill="1" applyBorder="1" applyAlignment="1" applyProtection="1">
      <alignment vertical="top"/>
      <protection/>
    </xf>
    <xf numFmtId="0" fontId="1" fillId="0" borderId="16" xfId="70" applyNumberFormat="1" applyFont="1" applyFill="1" applyBorder="1" applyAlignment="1" applyProtection="1">
      <alignment vertical="top"/>
      <protection/>
    </xf>
    <xf numFmtId="0" fontId="7" fillId="0" borderId="8" xfId="70" applyNumberFormat="1" applyFont="1" applyFill="1" applyBorder="1" applyAlignment="1" applyProtection="1">
      <alignment vertical="top"/>
      <protection/>
    </xf>
    <xf numFmtId="0" fontId="8" fillId="0" borderId="0" xfId="70" applyNumberFormat="1" applyFont="1" applyFill="1" applyBorder="1" applyAlignment="1" applyProtection="1">
      <alignment vertical="top"/>
      <protection/>
    </xf>
    <xf numFmtId="0" fontId="7" fillId="0" borderId="0" xfId="70" applyNumberFormat="1" applyFont="1" applyFill="1" applyBorder="1" applyAlignment="1" applyProtection="1">
      <alignment vertical="top"/>
      <protection/>
    </xf>
    <xf numFmtId="0" fontId="1" fillId="0" borderId="18" xfId="70" applyNumberFormat="1" applyFont="1" applyFill="1" applyBorder="1" applyAlignment="1" applyProtection="1">
      <alignment vertical="top"/>
      <protection/>
    </xf>
    <xf numFmtId="49" fontId="7" fillId="0" borderId="19" xfId="70" applyNumberFormat="1" applyFont="1" applyFill="1" applyBorder="1" applyAlignment="1" applyProtection="1">
      <alignment vertical="top"/>
      <protection/>
    </xf>
    <xf numFmtId="0" fontId="1" fillId="0" borderId="19" xfId="70" applyNumberFormat="1" applyFont="1" applyFill="1" applyBorder="1" applyAlignment="1" applyProtection="1">
      <alignment vertical="top"/>
      <protection/>
    </xf>
    <xf numFmtId="0" fontId="1" fillId="0" borderId="20" xfId="7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" fillId="0" borderId="8" xfId="0" applyNumberFormat="1" applyFont="1" applyFill="1" applyBorder="1" applyAlignment="1" applyProtection="1">
      <alignment horizontal="left" vertical="top" indent="3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 horizontal="justify"/>
    </xf>
    <xf numFmtId="49" fontId="1" fillId="0" borderId="0" xfId="0" applyNumberFormat="1" applyFont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Alignment="1">
      <alignment/>
    </xf>
    <xf numFmtId="2" fontId="1" fillId="0" borderId="8" xfId="0" applyNumberFormat="1" applyFont="1" applyBorder="1" applyAlignment="1">
      <alignment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49" fontId="1" fillId="0" borderId="0" xfId="69" applyNumberFormat="1" applyFont="1" applyFill="1" applyBorder="1" applyAlignment="1" applyProtection="1">
      <alignment vertical="top"/>
      <protection/>
    </xf>
    <xf numFmtId="0" fontId="1" fillId="0" borderId="0" xfId="69" applyNumberFormat="1" applyFont="1" applyFill="1" applyBorder="1" applyAlignment="1" applyProtection="1">
      <alignment vertical="top"/>
      <protection/>
    </xf>
    <xf numFmtId="0" fontId="10" fillId="0" borderId="0" xfId="69" applyNumberFormat="1" applyFont="1" applyFill="1" applyBorder="1" applyAlignment="1" applyProtection="1">
      <alignment vertical="top"/>
      <protection/>
    </xf>
    <xf numFmtId="49" fontId="1" fillId="0" borderId="0" xfId="69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 applyBorder="1" applyAlignment="1" applyProtection="1">
      <alignment vertical="top"/>
      <protection/>
    </xf>
    <xf numFmtId="0" fontId="1" fillId="0" borderId="0" xfId="68" applyNumberFormat="1" applyFont="1" applyFill="1" applyBorder="1" applyAlignment="1" applyProtection="1">
      <alignment vertical="top"/>
      <protection/>
    </xf>
    <xf numFmtId="172" fontId="1" fillId="0" borderId="8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top" wrapText="1"/>
    </xf>
    <xf numFmtId="175" fontId="1" fillId="0" borderId="8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5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justify" wrapText="1"/>
    </xf>
    <xf numFmtId="10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top" wrapText="1"/>
    </xf>
    <xf numFmtId="2" fontId="1" fillId="0" borderId="0" xfId="68" applyNumberFormat="1" applyFont="1" applyFill="1" applyBorder="1" applyAlignment="1" applyProtection="1">
      <alignment vertical="top"/>
      <protection/>
    </xf>
    <xf numFmtId="174" fontId="1" fillId="0" borderId="0" xfId="68" applyNumberFormat="1" applyFont="1" applyFill="1" applyBorder="1" applyAlignment="1" applyProtection="1">
      <alignment vertical="top"/>
      <protection/>
    </xf>
    <xf numFmtId="0" fontId="1" fillId="0" borderId="0" xfId="69" applyNumberFormat="1" applyFont="1" applyFill="1" applyBorder="1" applyAlignment="1" applyProtection="1">
      <alignment horizontal="right" vertical="justify"/>
      <protection/>
    </xf>
    <xf numFmtId="174" fontId="1" fillId="0" borderId="0" xfId="69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 horizontal="center" vertical="center" wrapText="1"/>
    </xf>
    <xf numFmtId="176" fontId="15" fillId="0" borderId="0" xfId="69" applyNumberFormat="1" applyFont="1" applyFill="1" applyBorder="1" applyAlignment="1" applyProtection="1">
      <alignment vertical="top"/>
      <protection/>
    </xf>
    <xf numFmtId="10" fontId="15" fillId="0" borderId="0" xfId="69" applyNumberFormat="1" applyFont="1" applyFill="1" applyBorder="1" applyAlignment="1" applyProtection="1">
      <alignment vertical="top"/>
      <protection/>
    </xf>
    <xf numFmtId="2" fontId="5" fillId="0" borderId="0" xfId="69" applyNumberFormat="1" applyFont="1" applyFill="1" applyBorder="1" applyAlignment="1" applyProtection="1">
      <alignment vertical="top"/>
      <protection/>
    </xf>
    <xf numFmtId="10" fontId="15" fillId="0" borderId="0" xfId="68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 horizontal="left" vertical="center" wrapText="1"/>
    </xf>
    <xf numFmtId="175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68" applyNumberFormat="1" applyFont="1" applyFill="1" applyBorder="1" applyAlignment="1" applyProtection="1">
      <alignment vertical="top"/>
      <protection/>
    </xf>
    <xf numFmtId="0" fontId="0" fillId="0" borderId="34" xfId="0" applyBorder="1" applyAlignment="1">
      <alignment/>
    </xf>
    <xf numFmtId="2" fontId="1" fillId="0" borderId="35" xfId="0" applyNumberFormat="1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justify"/>
    </xf>
    <xf numFmtId="0" fontId="22" fillId="0" borderId="16" xfId="0" applyFont="1" applyFill="1" applyBorder="1" applyAlignment="1">
      <alignment horizontal="left" vertical="justify" wrapText="1"/>
    </xf>
    <xf numFmtId="0" fontId="22" fillId="0" borderId="8" xfId="0" applyFont="1" applyFill="1" applyBorder="1" applyAlignment="1">
      <alignment horizontal="right" vertical="justify" wrapText="1"/>
    </xf>
    <xf numFmtId="0" fontId="22" fillId="0" borderId="17" xfId="0" applyFont="1" applyFill="1" applyBorder="1" applyAlignment="1">
      <alignment horizontal="right" vertical="justify" wrapText="1"/>
    </xf>
    <xf numFmtId="0" fontId="22" fillId="0" borderId="16" xfId="0" applyFont="1" applyFill="1" applyBorder="1" applyAlignment="1">
      <alignment horizontal="right" vertical="justify" wrapText="1"/>
    </xf>
    <xf numFmtId="0" fontId="23" fillId="0" borderId="26" xfId="0" applyFont="1" applyFill="1" applyBorder="1" applyAlignment="1">
      <alignment horizontal="right" vertical="justify"/>
    </xf>
    <xf numFmtId="0" fontId="23" fillId="0" borderId="0" xfId="0" applyFont="1" applyFill="1" applyBorder="1" applyAlignment="1">
      <alignment horizontal="right" vertical="justify"/>
    </xf>
    <xf numFmtId="0" fontId="23" fillId="0" borderId="27" xfId="0" applyFont="1" applyFill="1" applyBorder="1" applyAlignment="1">
      <alignment horizontal="right" vertical="justify"/>
    </xf>
    <xf numFmtId="0" fontId="23" fillId="0" borderId="28" xfId="0" applyFont="1" applyFill="1" applyBorder="1" applyAlignment="1">
      <alignment horizontal="right" vertical="justify"/>
    </xf>
    <xf numFmtId="0" fontId="22" fillId="0" borderId="29" xfId="0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left" vertical="justify" wrapText="1"/>
    </xf>
    <xf numFmtId="0" fontId="22" fillId="0" borderId="18" xfId="0" applyFont="1" applyFill="1" applyBorder="1" applyAlignment="1">
      <alignment horizontal="left" vertical="justify" wrapText="1"/>
    </xf>
    <xf numFmtId="0" fontId="22" fillId="0" borderId="31" xfId="0" applyFont="1" applyFill="1" applyBorder="1" applyAlignment="1">
      <alignment horizontal="left" vertical="justify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2" fontId="22" fillId="0" borderId="8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vertical="top" wrapText="1"/>
    </xf>
    <xf numFmtId="2" fontId="14" fillId="0" borderId="8" xfId="0" applyNumberFormat="1" applyFont="1" applyFill="1" applyBorder="1" applyAlignment="1">
      <alignment vertical="top" wrapText="1"/>
    </xf>
    <xf numFmtId="175" fontId="14" fillId="0" borderId="8" xfId="0" applyNumberFormat="1" applyFont="1" applyBorder="1" applyAlignment="1">
      <alignment vertical="top" wrapText="1"/>
    </xf>
    <xf numFmtId="2" fontId="14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75" fontId="14" fillId="0" borderId="8" xfId="0" applyNumberFormat="1" applyFont="1" applyFill="1" applyBorder="1" applyAlignment="1">
      <alignment vertical="justify" wrapText="1"/>
    </xf>
    <xf numFmtId="175" fontId="24" fillId="0" borderId="0" xfId="0" applyNumberFormat="1" applyFont="1" applyFill="1" applyBorder="1" applyAlignment="1">
      <alignment vertical="justify"/>
    </xf>
    <xf numFmtId="0" fontId="22" fillId="0" borderId="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vertical="top" wrapText="1"/>
    </xf>
    <xf numFmtId="172" fontId="22" fillId="0" borderId="8" xfId="0" applyNumberFormat="1" applyFont="1" applyFill="1" applyBorder="1" applyAlignment="1">
      <alignment horizontal="left" vertical="center" wrapText="1"/>
    </xf>
    <xf numFmtId="1" fontId="22" fillId="0" borderId="8" xfId="0" applyNumberFormat="1" applyFont="1" applyFill="1" applyBorder="1" applyAlignment="1">
      <alignment vertical="top" wrapText="1"/>
    </xf>
    <xf numFmtId="172" fontId="22" fillId="0" borderId="8" xfId="0" applyNumberFormat="1" applyFont="1" applyFill="1" applyBorder="1" applyAlignment="1">
      <alignment vertical="top" wrapText="1"/>
    </xf>
    <xf numFmtId="172" fontId="22" fillId="0" borderId="17" xfId="0" applyNumberFormat="1" applyFont="1" applyFill="1" applyBorder="1" applyAlignment="1">
      <alignment vertical="top" wrapText="1"/>
    </xf>
    <xf numFmtId="2" fontId="22" fillId="0" borderId="27" xfId="0" applyNumberFormat="1" applyFont="1" applyFill="1" applyBorder="1" applyAlignment="1">
      <alignment vertical="top" wrapText="1"/>
    </xf>
    <xf numFmtId="2" fontId="22" fillId="0" borderId="36" xfId="0" applyNumberFormat="1" applyFont="1" applyFill="1" applyBorder="1" applyAlignment="1">
      <alignment vertical="top" wrapText="1"/>
    </xf>
    <xf numFmtId="172" fontId="22" fillId="0" borderId="23" xfId="0" applyNumberFormat="1" applyFont="1" applyFill="1" applyBorder="1" applyAlignment="1">
      <alignment horizontal="center" vertical="center" wrapText="1"/>
    </xf>
    <xf numFmtId="172" fontId="22" fillId="0" borderId="8" xfId="0" applyNumberFormat="1" applyFont="1" applyFill="1" applyBorder="1" applyAlignment="1">
      <alignment horizontal="left" wrapText="1"/>
    </xf>
    <xf numFmtId="174" fontId="22" fillId="0" borderId="8" xfId="0" applyNumberFormat="1" applyFont="1" applyFill="1" applyBorder="1" applyAlignment="1">
      <alignment vertical="top" wrapText="1"/>
    </xf>
    <xf numFmtId="175" fontId="22" fillId="0" borderId="8" xfId="0" applyNumberFormat="1" applyFont="1" applyFill="1" applyBorder="1" applyAlignment="1">
      <alignment vertical="top" wrapText="1"/>
    </xf>
    <xf numFmtId="2" fontId="22" fillId="0" borderId="17" xfId="0" applyNumberFormat="1" applyFont="1" applyFill="1" applyBorder="1" applyAlignment="1">
      <alignment vertical="top" wrapText="1"/>
    </xf>
    <xf numFmtId="172" fontId="22" fillId="0" borderId="37" xfId="0" applyNumberFormat="1" applyFont="1" applyFill="1" applyBorder="1" applyAlignment="1">
      <alignment vertical="top" wrapText="1"/>
    </xf>
    <xf numFmtId="2" fontId="22" fillId="0" borderId="34" xfId="0" applyNumberFormat="1" applyFont="1" applyFill="1" applyBorder="1" applyAlignment="1">
      <alignment vertical="top" wrapText="1"/>
    </xf>
    <xf numFmtId="172" fontId="22" fillId="0" borderId="0" xfId="0" applyNumberFormat="1" applyFont="1" applyFill="1" applyAlignment="1">
      <alignment/>
    </xf>
    <xf numFmtId="172" fontId="22" fillId="0" borderId="22" xfId="0" applyNumberFormat="1" applyFont="1" applyFill="1" applyBorder="1" applyAlignment="1">
      <alignment horizontal="center" vertical="center" wrapText="1"/>
    </xf>
    <xf numFmtId="172" fontId="26" fillId="0" borderId="16" xfId="0" applyNumberFormat="1" applyFont="1" applyFill="1" applyBorder="1" applyAlignment="1">
      <alignment vertical="top" wrapText="1"/>
    </xf>
    <xf numFmtId="172" fontId="26" fillId="0" borderId="8" xfId="0" applyNumberFormat="1" applyFont="1" applyFill="1" applyBorder="1" applyAlignment="1">
      <alignment horizontal="left" wrapText="1"/>
    </xf>
    <xf numFmtId="176" fontId="22" fillId="0" borderId="8" xfId="0" applyNumberFormat="1" applyFont="1" applyFill="1" applyBorder="1" applyAlignment="1">
      <alignment vertical="top" wrapText="1"/>
    </xf>
    <xf numFmtId="176" fontId="22" fillId="0" borderId="17" xfId="0" applyNumberFormat="1" applyFont="1" applyFill="1" applyBorder="1" applyAlignment="1">
      <alignment vertical="top" wrapText="1"/>
    </xf>
    <xf numFmtId="172" fontId="26" fillId="0" borderId="8" xfId="0" applyNumberFormat="1" applyFont="1" applyFill="1" applyBorder="1" applyAlignment="1">
      <alignment horizontal="left" vertical="center" wrapText="1"/>
    </xf>
    <xf numFmtId="172" fontId="22" fillId="0" borderId="26" xfId="0" applyNumberFormat="1" applyFont="1" applyFill="1" applyBorder="1" applyAlignment="1">
      <alignment vertical="top" wrapText="1"/>
    </xf>
    <xf numFmtId="172" fontId="22" fillId="0" borderId="27" xfId="0" applyNumberFormat="1" applyFont="1" applyFill="1" applyBorder="1" applyAlignment="1">
      <alignment horizontal="left" vertical="center" wrapText="1"/>
    </xf>
    <xf numFmtId="176" fontId="22" fillId="0" borderId="27" xfId="0" applyNumberFormat="1" applyFont="1" applyFill="1" applyBorder="1" applyAlignment="1">
      <alignment vertical="top" wrapText="1"/>
    </xf>
    <xf numFmtId="176" fontId="22" fillId="0" borderId="28" xfId="0" applyNumberFormat="1" applyFont="1" applyFill="1" applyBorder="1" applyAlignment="1">
      <alignment vertical="top" wrapText="1"/>
    </xf>
    <xf numFmtId="172" fontId="26" fillId="0" borderId="32" xfId="0" applyNumberFormat="1" applyFont="1" applyFill="1" applyBorder="1" applyAlignment="1">
      <alignment vertical="top" wrapText="1"/>
    </xf>
    <xf numFmtId="172" fontId="26" fillId="0" borderId="38" xfId="0" applyNumberFormat="1" applyFont="1" applyFill="1" applyBorder="1" applyAlignment="1">
      <alignment vertical="top" wrapText="1"/>
    </xf>
    <xf numFmtId="176" fontId="22" fillId="0" borderId="38" xfId="0" applyNumberFormat="1" applyFont="1" applyFill="1" applyBorder="1" applyAlignment="1">
      <alignment vertical="top" wrapText="1"/>
    </xf>
    <xf numFmtId="2" fontId="25" fillId="0" borderId="8" xfId="0" applyNumberFormat="1" applyFont="1" applyFill="1" applyBorder="1" applyAlignment="1">
      <alignment vertical="top" wrapText="1"/>
    </xf>
    <xf numFmtId="0" fontId="21" fillId="0" borderId="16" xfId="0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8" xfId="0" applyFont="1" applyBorder="1" applyAlignment="1">
      <alignment vertical="top" wrapText="1"/>
    </xf>
    <xf numFmtId="2" fontId="0" fillId="0" borderId="0" xfId="0" applyNumberFormat="1" applyFill="1" applyAlignment="1">
      <alignment/>
    </xf>
    <xf numFmtId="2" fontId="22" fillId="0" borderId="39" xfId="0" applyNumberFormat="1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14" fillId="0" borderId="8" xfId="0" applyFont="1" applyFill="1" applyBorder="1" applyAlignment="1">
      <alignment horizontal="left" vertical="justify" wrapText="1"/>
    </xf>
    <xf numFmtId="0" fontId="22" fillId="0" borderId="29" xfId="0" applyFont="1" applyFill="1" applyBorder="1" applyAlignment="1">
      <alignment horizontal="left" vertical="center" wrapText="1"/>
    </xf>
    <xf numFmtId="176" fontId="22" fillId="0" borderId="36" xfId="0" applyNumberFormat="1" applyFont="1" applyFill="1" applyBorder="1" applyAlignment="1">
      <alignment vertical="top" wrapText="1"/>
    </xf>
    <xf numFmtId="172" fontId="22" fillId="0" borderId="27" xfId="0" applyNumberFormat="1" applyFont="1" applyFill="1" applyBorder="1" applyAlignment="1">
      <alignment vertical="top" wrapText="1"/>
    </xf>
    <xf numFmtId="176" fontId="22" fillId="0" borderId="40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left" vertical="justify" wrapText="1"/>
    </xf>
    <xf numFmtId="2" fontId="1" fillId="0" borderId="0" xfId="69" applyNumberFormat="1" applyFont="1" applyFill="1" applyBorder="1" applyAlignment="1" applyProtection="1">
      <alignment vertical="top"/>
      <protection/>
    </xf>
    <xf numFmtId="175" fontId="15" fillId="0" borderId="0" xfId="0" applyNumberFormat="1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vertical="top" wrapText="1"/>
    </xf>
    <xf numFmtId="173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1" fontId="32" fillId="0" borderId="0" xfId="0" applyNumberFormat="1" applyFont="1" applyAlignment="1">
      <alignment horizontal="center"/>
    </xf>
    <xf numFmtId="1" fontId="33" fillId="0" borderId="0" xfId="0" applyNumberFormat="1" applyFont="1" applyAlignment="1">
      <alignment/>
    </xf>
    <xf numFmtId="173" fontId="3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22" fillId="0" borderId="0" xfId="68" applyNumberFormat="1" applyFont="1" applyFill="1" applyBorder="1" applyAlignment="1" applyProtection="1">
      <alignment vertical="top"/>
      <protection/>
    </xf>
    <xf numFmtId="0" fontId="22" fillId="0" borderId="0" xfId="68" applyNumberFormat="1" applyFont="1" applyFill="1" applyBorder="1" applyAlignment="1" applyProtection="1">
      <alignment vertical="top"/>
      <protection/>
    </xf>
    <xf numFmtId="0" fontId="15" fillId="0" borderId="8" xfId="0" applyFont="1" applyBorder="1" applyAlignment="1">
      <alignment horizontal="left" wrapText="1"/>
    </xf>
    <xf numFmtId="0" fontId="14" fillId="0" borderId="0" xfId="68" applyNumberFormat="1" applyFont="1" applyFill="1" applyBorder="1" applyAlignment="1" applyProtection="1">
      <alignment vertical="top"/>
      <protection/>
    </xf>
    <xf numFmtId="174" fontId="14" fillId="0" borderId="0" xfId="68" applyNumberFormat="1" applyFont="1" applyFill="1" applyBorder="1" applyAlignment="1" applyProtection="1">
      <alignment vertical="top"/>
      <protection/>
    </xf>
    <xf numFmtId="175" fontId="14" fillId="0" borderId="16" xfId="0" applyNumberFormat="1" applyFont="1" applyFill="1" applyBorder="1" applyAlignment="1">
      <alignment horizontal="center" vertical="center" wrapText="1"/>
    </xf>
    <xf numFmtId="175" fontId="14" fillId="0" borderId="8" xfId="0" applyNumberFormat="1" applyFont="1" applyFill="1" applyBorder="1" applyAlignment="1">
      <alignment horizontal="center" vertical="center" wrapText="1"/>
    </xf>
    <xf numFmtId="172" fontId="22" fillId="0" borderId="29" xfId="0" applyNumberFormat="1" applyFont="1" applyFill="1" applyBorder="1" applyAlignment="1">
      <alignment horizontal="left" wrapText="1"/>
    </xf>
    <xf numFmtId="172" fontId="22" fillId="0" borderId="29" xfId="0" applyNumberFormat="1" applyFont="1" applyFill="1" applyBorder="1" applyAlignment="1">
      <alignment horizontal="left" vertical="center" wrapText="1"/>
    </xf>
    <xf numFmtId="172" fontId="22" fillId="0" borderId="25" xfId="0" applyNumberFormat="1" applyFont="1" applyFill="1" applyBorder="1" applyAlignment="1">
      <alignment vertical="top" wrapText="1"/>
    </xf>
    <xf numFmtId="172" fontId="22" fillId="0" borderId="31" xfId="0" applyNumberFormat="1" applyFont="1" applyFill="1" applyBorder="1" applyAlignment="1">
      <alignment horizontal="left" vertical="center" wrapText="1"/>
    </xf>
    <xf numFmtId="172" fontId="22" fillId="0" borderId="41" xfId="0" applyNumberFormat="1" applyFont="1" applyFill="1" applyBorder="1" applyAlignment="1">
      <alignment vertical="top" wrapText="1"/>
    </xf>
    <xf numFmtId="172" fontId="22" fillId="0" borderId="36" xfId="0" applyNumberFormat="1" applyFont="1" applyFill="1" applyBorder="1" applyAlignment="1">
      <alignment vertical="top" wrapText="1"/>
    </xf>
    <xf numFmtId="172" fontId="22" fillId="0" borderId="42" xfId="0" applyNumberFormat="1" applyFont="1" applyFill="1" applyBorder="1" applyAlignment="1">
      <alignment vertical="top" wrapText="1"/>
    </xf>
    <xf numFmtId="2" fontId="22" fillId="0" borderId="43" xfId="0" applyNumberFormat="1" applyFont="1" applyFill="1" applyBorder="1" applyAlignment="1">
      <alignment vertical="top" wrapText="1"/>
    </xf>
    <xf numFmtId="175" fontId="22" fillId="0" borderId="27" xfId="0" applyNumberFormat="1" applyFont="1" applyFill="1" applyBorder="1" applyAlignment="1">
      <alignment vertical="top" wrapText="1"/>
    </xf>
    <xf numFmtId="175" fontId="22" fillId="0" borderId="39" xfId="0" applyNumberFormat="1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right" vertical="justify" wrapText="1"/>
    </xf>
    <xf numFmtId="2" fontId="5" fillId="0" borderId="8" xfId="0" applyNumberFormat="1" applyFont="1" applyFill="1" applyBorder="1" applyAlignment="1">
      <alignment vertical="top" wrapText="1"/>
    </xf>
    <xf numFmtId="175" fontId="34" fillId="0" borderId="0" xfId="0" applyNumberFormat="1" applyFont="1" applyFill="1" applyAlignment="1">
      <alignment horizontal="left" vertical="justify"/>
    </xf>
    <xf numFmtId="174" fontId="34" fillId="0" borderId="0" xfId="0" applyNumberFormat="1" applyFont="1" applyFill="1" applyAlignment="1">
      <alignment horizontal="left" vertical="justify"/>
    </xf>
    <xf numFmtId="175" fontId="1" fillId="0" borderId="0" xfId="68" applyNumberFormat="1" applyFont="1" applyFill="1" applyBorder="1" applyAlignment="1" applyProtection="1">
      <alignment vertical="top"/>
      <protection/>
    </xf>
    <xf numFmtId="0" fontId="37" fillId="0" borderId="0" xfId="75">
      <alignment/>
      <protection/>
    </xf>
    <xf numFmtId="0" fontId="37" fillId="0" borderId="0" xfId="75" applyBorder="1">
      <alignment/>
      <protection/>
    </xf>
    <xf numFmtId="0" fontId="37" fillId="0" borderId="8" xfId="75" applyBorder="1" applyAlignment="1">
      <alignment horizontal="center" vertical="center" wrapText="1"/>
      <protection/>
    </xf>
    <xf numFmtId="0" fontId="30" fillId="0" borderId="8" xfId="75" applyFont="1" applyBorder="1" applyAlignment="1">
      <alignment horizontal="center" vertical="center" wrapText="1"/>
      <protection/>
    </xf>
    <xf numFmtId="0" fontId="37" fillId="0" borderId="8" xfId="75" applyBorder="1" applyAlignment="1">
      <alignment horizontal="center" vertical="center"/>
      <protection/>
    </xf>
    <xf numFmtId="0" fontId="29" fillId="0" borderId="8" xfId="75" applyFont="1" applyBorder="1" applyAlignment="1">
      <alignment horizontal="center" vertical="center" wrapText="1"/>
      <protection/>
    </xf>
    <xf numFmtId="0" fontId="37" fillId="0" borderId="27" xfId="75" applyBorder="1" applyAlignment="1">
      <alignment horizontal="center"/>
      <protection/>
    </xf>
    <xf numFmtId="0" fontId="37" fillId="0" borderId="0" xfId="75" applyBorder="1" applyAlignment="1">
      <alignment horizontal="center" vertical="center" wrapText="1"/>
      <protection/>
    </xf>
    <xf numFmtId="0" fontId="37" fillId="0" borderId="0" xfId="75" applyFill="1">
      <alignment/>
      <protection/>
    </xf>
    <xf numFmtId="0" fontId="29" fillId="0" borderId="0" xfId="74" applyFont="1" applyFill="1" applyAlignment="1">
      <alignment horizontal="right"/>
      <protection/>
    </xf>
    <xf numFmtId="0" fontId="37" fillId="0" borderId="0" xfId="75" applyAlignment="1">
      <alignment horizontal="center" vertical="center" wrapText="1"/>
      <protection/>
    </xf>
    <xf numFmtId="0" fontId="39" fillId="0" borderId="0" xfId="75" applyFont="1" applyBorder="1">
      <alignment/>
      <protection/>
    </xf>
    <xf numFmtId="0" fontId="37" fillId="0" borderId="27" xfId="75" applyBorder="1" applyAlignment="1">
      <alignment horizontal="center" vertical="center"/>
      <protection/>
    </xf>
    <xf numFmtId="0" fontId="11" fillId="0" borderId="8" xfId="75" applyFont="1" applyBorder="1" applyAlignment="1">
      <alignment horizontal="center" vertical="center" wrapText="1"/>
      <protection/>
    </xf>
    <xf numFmtId="0" fontId="11" fillId="0" borderId="8" xfId="75" applyFont="1" applyBorder="1" applyAlignment="1">
      <alignment horizontal="center" vertical="center"/>
      <protection/>
    </xf>
    <xf numFmtId="17" fontId="37" fillId="0" borderId="0" xfId="75" applyNumberFormat="1" applyAlignment="1">
      <alignment horizontal="center"/>
      <protection/>
    </xf>
    <xf numFmtId="172" fontId="37" fillId="0" borderId="8" xfId="75" applyNumberFormat="1" applyBorder="1" applyAlignment="1">
      <alignment horizontal="center" vertical="center"/>
      <protection/>
    </xf>
    <xf numFmtId="17" fontId="37" fillId="0" borderId="44" xfId="75" applyNumberFormat="1" applyBorder="1" applyAlignment="1">
      <alignment horizontal="center"/>
      <protection/>
    </xf>
    <xf numFmtId="17" fontId="37" fillId="0" borderId="8" xfId="75" applyNumberFormat="1" applyBorder="1" applyAlignment="1">
      <alignment horizontal="center" vertical="center"/>
      <protection/>
    </xf>
    <xf numFmtId="0" fontId="37" fillId="0" borderId="0" xfId="75" applyFont="1" applyBorder="1">
      <alignment/>
      <protection/>
    </xf>
    <xf numFmtId="0" fontId="30" fillId="0" borderId="0" xfId="75" applyFont="1">
      <alignment/>
      <protection/>
    </xf>
    <xf numFmtId="0" fontId="37" fillId="0" borderId="0" xfId="75" applyFont="1">
      <alignment/>
      <protection/>
    </xf>
    <xf numFmtId="0" fontId="42" fillId="0" borderId="0" xfId="75" applyFont="1" applyAlignment="1">
      <alignment horizontal="justify" vertical="center" wrapText="1"/>
      <protection/>
    </xf>
    <xf numFmtId="0" fontId="30" fillId="0" borderId="0" xfId="74" applyFont="1" applyAlignment="1">
      <alignment horizontal="right"/>
      <protection/>
    </xf>
    <xf numFmtId="0" fontId="30" fillId="0" borderId="0" xfId="66" applyFont="1" applyFill="1" applyBorder="1" applyAlignment="1">
      <alignment vertical="center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7" fillId="0" borderId="32" xfId="69" applyNumberFormat="1" applyFont="1" applyFill="1" applyBorder="1" applyAlignment="1" applyProtection="1">
      <alignment horizontal="center" vertical="center"/>
      <protection/>
    </xf>
    <xf numFmtId="0" fontId="1" fillId="0" borderId="32" xfId="69" applyNumberFormat="1" applyFont="1" applyFill="1" applyBorder="1" applyAlignment="1" applyProtection="1">
      <alignment horizontal="center" vertical="center"/>
      <protection/>
    </xf>
    <xf numFmtId="0" fontId="19" fillId="0" borderId="32" xfId="69" applyNumberFormat="1" applyFont="1" applyFill="1" applyBorder="1" applyAlignment="1" applyProtection="1">
      <alignment horizontal="center" vertical="center" wrapText="1"/>
      <protection/>
    </xf>
    <xf numFmtId="0" fontId="1" fillId="0" borderId="45" xfId="69" applyNumberFormat="1" applyFont="1" applyFill="1" applyBorder="1" applyAlignment="1" applyProtection="1">
      <alignment horizontal="center" vertical="center"/>
      <protection/>
    </xf>
    <xf numFmtId="0" fontId="1" fillId="0" borderId="32" xfId="69" applyNumberFormat="1" applyFont="1" applyFill="1" applyBorder="1" applyAlignment="1" applyProtection="1">
      <alignment horizontal="center" vertical="center" wrapText="1"/>
      <protection/>
    </xf>
    <xf numFmtId="175" fontId="1" fillId="0" borderId="0" xfId="69" applyNumberFormat="1" applyFont="1" applyFill="1" applyBorder="1" applyAlignment="1" applyProtection="1">
      <alignment horizontal="right" vertical="justify"/>
      <protection/>
    </xf>
    <xf numFmtId="174" fontId="17" fillId="0" borderId="33" xfId="69" applyNumberFormat="1" applyFont="1" applyFill="1" applyBorder="1" applyAlignment="1" applyProtection="1">
      <alignment horizontal="center" vertical="center"/>
      <protection/>
    </xf>
    <xf numFmtId="175" fontId="17" fillId="0" borderId="33" xfId="69" applyNumberFormat="1" applyFont="1" applyFill="1" applyBorder="1" applyAlignment="1" applyProtection="1">
      <alignment horizontal="center" vertical="center"/>
      <protection/>
    </xf>
    <xf numFmtId="10" fontId="5" fillId="0" borderId="33" xfId="69" applyNumberFormat="1" applyFont="1" applyFill="1" applyBorder="1" applyAlignment="1" applyProtection="1">
      <alignment horizontal="center" vertical="center"/>
      <protection/>
    </xf>
    <xf numFmtId="177" fontId="17" fillId="0" borderId="33" xfId="69" applyNumberFormat="1" applyFont="1" applyFill="1" applyBorder="1" applyAlignment="1" applyProtection="1">
      <alignment horizontal="center" vertical="center"/>
      <protection/>
    </xf>
    <xf numFmtId="174" fontId="17" fillId="0" borderId="46" xfId="69" applyNumberFormat="1" applyFont="1" applyFill="1" applyBorder="1" applyAlignment="1" applyProtection="1">
      <alignment horizontal="center" vertical="center"/>
      <protection/>
    </xf>
    <xf numFmtId="1" fontId="17" fillId="0" borderId="33" xfId="69" applyNumberFormat="1" applyFont="1" applyFill="1" applyBorder="1" applyAlignment="1" applyProtection="1">
      <alignment horizontal="center" vertical="center"/>
      <protection/>
    </xf>
    <xf numFmtId="2" fontId="17" fillId="0" borderId="33" xfId="69" applyNumberFormat="1" applyFont="1" applyFill="1" applyBorder="1" applyAlignment="1" applyProtection="1">
      <alignment horizontal="center" vertical="center"/>
      <protection/>
    </xf>
    <xf numFmtId="175" fontId="17" fillId="0" borderId="35" xfId="69" applyNumberFormat="1" applyFont="1" applyFill="1" applyBorder="1" applyAlignment="1" applyProtection="1">
      <alignment horizontal="center" vertical="center"/>
      <protection/>
    </xf>
    <xf numFmtId="0" fontId="1" fillId="0" borderId="47" xfId="69" applyNumberFormat="1" applyFont="1" applyFill="1" applyBorder="1" applyAlignment="1" applyProtection="1">
      <alignment horizontal="center" vertical="top" wrapText="1"/>
      <protection/>
    </xf>
    <xf numFmtId="0" fontId="1" fillId="0" borderId="48" xfId="69" applyNumberFormat="1" applyFont="1" applyFill="1" applyBorder="1" applyAlignment="1" applyProtection="1">
      <alignment horizontal="left" vertical="top" indent="2"/>
      <protection/>
    </xf>
    <xf numFmtId="0" fontId="1" fillId="0" borderId="41" xfId="69" applyNumberFormat="1" applyFont="1" applyFill="1" applyBorder="1" applyAlignment="1" applyProtection="1">
      <alignment horizontal="left" vertical="top" indent="2"/>
      <protection/>
    </xf>
    <xf numFmtId="0" fontId="1" fillId="0" borderId="41" xfId="69" applyNumberFormat="1" applyFont="1" applyFill="1" applyBorder="1" applyAlignment="1" applyProtection="1">
      <alignment horizontal="left" vertical="top"/>
      <protection/>
    </xf>
    <xf numFmtId="0" fontId="1" fillId="0" borderId="41" xfId="69" applyNumberFormat="1" applyFont="1" applyFill="1" applyBorder="1" applyAlignment="1" applyProtection="1">
      <alignment horizontal="left" indent="2"/>
      <protection/>
    </xf>
    <xf numFmtId="0" fontId="1" fillId="0" borderId="41" xfId="69" applyNumberFormat="1" applyFont="1" applyFill="1" applyBorder="1" applyAlignment="1" applyProtection="1">
      <alignment vertical="top"/>
      <protection/>
    </xf>
    <xf numFmtId="49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47" xfId="69" applyNumberFormat="1" applyFont="1" applyFill="1" applyBorder="1" applyAlignment="1" applyProtection="1">
      <alignment horizontal="left" vertical="top" wrapText="1"/>
      <protection/>
    </xf>
    <xf numFmtId="0" fontId="1" fillId="0" borderId="33" xfId="69" applyNumberFormat="1" applyFont="1" applyFill="1" applyBorder="1" applyAlignment="1" applyProtection="1">
      <alignment horizontal="left" vertical="top" wrapText="1"/>
      <protection/>
    </xf>
    <xf numFmtId="0" fontId="1" fillId="0" borderId="33" xfId="69" applyNumberFormat="1" applyFont="1" applyFill="1" applyBorder="1" applyAlignment="1" applyProtection="1">
      <alignment horizontal="left" vertical="top"/>
      <protection/>
    </xf>
    <xf numFmtId="0" fontId="1" fillId="0" borderId="33" xfId="69" applyNumberFormat="1" applyFont="1" applyFill="1" applyBorder="1" applyAlignment="1" applyProtection="1">
      <alignment horizontal="left" vertical="top" indent="5"/>
      <protection/>
    </xf>
    <xf numFmtId="0" fontId="1" fillId="0" borderId="33" xfId="69" applyNumberFormat="1" applyFont="1" applyFill="1" applyBorder="1" applyAlignment="1" applyProtection="1">
      <alignment horizontal="left"/>
      <protection/>
    </xf>
    <xf numFmtId="0" fontId="1" fillId="0" borderId="33" xfId="69" applyNumberFormat="1" applyFont="1" applyFill="1" applyBorder="1" applyAlignment="1" applyProtection="1">
      <alignment vertical="top"/>
      <protection/>
    </xf>
    <xf numFmtId="0" fontId="1" fillId="0" borderId="33" xfId="69" applyNumberFormat="1" applyFont="1" applyFill="1" applyBorder="1" applyAlignment="1" applyProtection="1">
      <alignment horizontal="left" vertical="center" wrapText="1"/>
      <protection/>
    </xf>
    <xf numFmtId="0" fontId="1" fillId="0" borderId="35" xfId="69" applyNumberFormat="1" applyFont="1" applyFill="1" applyBorder="1" applyAlignment="1" applyProtection="1">
      <alignment horizontal="left" vertical="top"/>
      <protection/>
    </xf>
    <xf numFmtId="2" fontId="1" fillId="0" borderId="8" xfId="69" applyNumberFormat="1" applyFont="1" applyFill="1" applyBorder="1" applyAlignment="1" applyProtection="1">
      <alignment horizontal="right" vertical="justify"/>
      <protection/>
    </xf>
    <xf numFmtId="0" fontId="1" fillId="0" borderId="50" xfId="69" applyNumberFormat="1" applyFont="1" applyFill="1" applyBorder="1" applyAlignment="1" applyProtection="1">
      <alignment vertical="top"/>
      <protection/>
    </xf>
    <xf numFmtId="2" fontId="1" fillId="0" borderId="14" xfId="69" applyNumberFormat="1" applyFont="1" applyFill="1" applyBorder="1" applyAlignment="1" applyProtection="1">
      <alignment horizontal="right" vertical="justify"/>
      <protection/>
    </xf>
    <xf numFmtId="2" fontId="1" fillId="0" borderId="15" xfId="69" applyNumberFormat="1" applyFont="1" applyFill="1" applyBorder="1" applyAlignment="1" applyProtection="1">
      <alignment horizontal="right" vertical="justify"/>
      <protection/>
    </xf>
    <xf numFmtId="2" fontId="1" fillId="0" borderId="17" xfId="69" applyNumberFormat="1" applyFont="1" applyFill="1" applyBorder="1" applyAlignment="1" applyProtection="1">
      <alignment horizontal="right" vertical="justify"/>
      <protection/>
    </xf>
    <xf numFmtId="2" fontId="1" fillId="0" borderId="19" xfId="69" applyNumberFormat="1" applyFont="1" applyFill="1" applyBorder="1" applyAlignment="1" applyProtection="1">
      <alignment horizontal="right" vertical="justify"/>
      <protection/>
    </xf>
    <xf numFmtId="2" fontId="1" fillId="0" borderId="20" xfId="69" applyNumberFormat="1" applyFont="1" applyFill="1" applyBorder="1" applyAlignment="1" applyProtection="1">
      <alignment horizontal="right" vertical="justify"/>
      <protection/>
    </xf>
    <xf numFmtId="2" fontId="14" fillId="0" borderId="14" xfId="69" applyNumberFormat="1" applyFont="1" applyFill="1" applyBorder="1" applyAlignment="1" applyProtection="1">
      <alignment vertical="top"/>
      <protection/>
    </xf>
    <xf numFmtId="2" fontId="14" fillId="0" borderId="15" xfId="69" applyNumberFormat="1" applyFont="1" applyFill="1" applyBorder="1" applyAlignment="1" applyProtection="1">
      <alignment vertical="top"/>
      <protection/>
    </xf>
    <xf numFmtId="0" fontId="1" fillId="0" borderId="47" xfId="69" applyNumberFormat="1" applyFont="1" applyFill="1" applyBorder="1" applyAlignment="1" applyProtection="1">
      <alignment horizontal="left" vertical="justify"/>
      <protection/>
    </xf>
    <xf numFmtId="0" fontId="1" fillId="0" borderId="33" xfId="69" applyNumberFormat="1" applyFont="1" applyFill="1" applyBorder="1" applyAlignment="1" applyProtection="1">
      <alignment vertical="top"/>
      <protection/>
    </xf>
    <xf numFmtId="0" fontId="1" fillId="0" borderId="35" xfId="69" applyNumberFormat="1" applyFont="1" applyFill="1" applyBorder="1" applyAlignment="1" applyProtection="1">
      <alignment vertical="top"/>
      <protection/>
    </xf>
    <xf numFmtId="0" fontId="1" fillId="0" borderId="21" xfId="69" applyNumberFormat="1" applyFont="1" applyFill="1" applyBorder="1" applyAlignment="1" applyProtection="1">
      <alignment vertical="top"/>
      <protection/>
    </xf>
    <xf numFmtId="0" fontId="1" fillId="0" borderId="25" xfId="69" applyNumberFormat="1" applyFont="1" applyFill="1" applyBorder="1" applyAlignment="1" applyProtection="1">
      <alignment vertical="top"/>
      <protection/>
    </xf>
    <xf numFmtId="2" fontId="1" fillId="0" borderId="13" xfId="69" applyNumberFormat="1" applyFont="1" applyFill="1" applyBorder="1" applyAlignment="1" applyProtection="1">
      <alignment horizontal="right" vertical="justify"/>
      <protection/>
    </xf>
    <xf numFmtId="2" fontId="1" fillId="0" borderId="16" xfId="69" applyNumberFormat="1" applyFont="1" applyFill="1" applyBorder="1" applyAlignment="1" applyProtection="1">
      <alignment horizontal="right" vertical="justify"/>
      <protection/>
    </xf>
    <xf numFmtId="2" fontId="1" fillId="0" borderId="18" xfId="69" applyNumberFormat="1" applyFont="1" applyFill="1" applyBorder="1" applyAlignment="1" applyProtection="1">
      <alignment horizontal="right" vertical="justify"/>
      <protection/>
    </xf>
    <xf numFmtId="2" fontId="14" fillId="0" borderId="13" xfId="69" applyNumberFormat="1" applyFont="1" applyFill="1" applyBorder="1" applyAlignment="1" applyProtection="1">
      <alignment vertical="top"/>
      <protection/>
    </xf>
    <xf numFmtId="0" fontId="21" fillId="0" borderId="0" xfId="69" applyNumberFormat="1" applyFont="1" applyFill="1" applyBorder="1" applyAlignment="1" applyProtection="1">
      <alignment horizontal="right" vertical="top"/>
      <protection/>
    </xf>
    <xf numFmtId="1" fontId="1" fillId="0" borderId="8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0" fillId="0" borderId="3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175" fontId="23" fillId="0" borderId="0" xfId="0" applyNumberFormat="1" applyFont="1" applyFill="1" applyAlignment="1">
      <alignment horizontal="left" vertical="justify"/>
    </xf>
    <xf numFmtId="0" fontId="1" fillId="0" borderId="51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6" fillId="0" borderId="16" xfId="68" applyNumberFormat="1" applyFont="1" applyFill="1" applyBorder="1" applyAlignment="1" applyProtection="1">
      <alignment horizontal="center" vertical="center"/>
      <protection/>
    </xf>
    <xf numFmtId="0" fontId="46" fillId="0" borderId="29" xfId="68" applyNumberFormat="1" applyFont="1" applyFill="1" applyBorder="1" applyAlignment="1" applyProtection="1">
      <alignment horizontal="center" vertical="center"/>
      <protection/>
    </xf>
    <xf numFmtId="0" fontId="17" fillId="0" borderId="8" xfId="68" applyNumberFormat="1" applyFont="1" applyFill="1" applyBorder="1" applyAlignment="1" applyProtection="1">
      <alignment horizontal="left" vertical="justify"/>
      <protection/>
    </xf>
    <xf numFmtId="2" fontId="17" fillId="0" borderId="16" xfId="68" applyNumberFormat="1" applyFont="1" applyFill="1" applyBorder="1" applyAlignment="1" applyProtection="1">
      <alignment horizontal="center" vertical="top"/>
      <protection/>
    </xf>
    <xf numFmtId="0" fontId="17" fillId="0" borderId="16" xfId="68" applyNumberFormat="1" applyFont="1" applyFill="1" applyBorder="1" applyAlignment="1" applyProtection="1">
      <alignment horizontal="center" vertical="center"/>
      <protection/>
    </xf>
    <xf numFmtId="0" fontId="17" fillId="0" borderId="8" xfId="68" applyNumberFormat="1" applyFont="1" applyFill="1" applyBorder="1" applyAlignment="1" applyProtection="1">
      <alignment horizontal="left" vertical="justify" wrapText="1"/>
      <protection/>
    </xf>
    <xf numFmtId="0" fontId="17" fillId="0" borderId="8" xfId="68" applyNumberFormat="1" applyFont="1" applyFill="1" applyBorder="1" applyAlignment="1" applyProtection="1">
      <alignment horizontal="left" vertical="center" wrapText="1"/>
      <protection/>
    </xf>
    <xf numFmtId="0" fontId="17" fillId="0" borderId="16" xfId="68" applyNumberFormat="1" applyFont="1" applyFill="1" applyBorder="1" applyAlignment="1" applyProtection="1">
      <alignment vertical="top"/>
      <protection/>
    </xf>
    <xf numFmtId="0" fontId="46" fillId="0" borderId="18" xfId="68" applyNumberFormat="1" applyFont="1" applyFill="1" applyBorder="1" applyAlignment="1" applyProtection="1">
      <alignment horizontal="center" vertical="center"/>
      <protection/>
    </xf>
    <xf numFmtId="0" fontId="17" fillId="0" borderId="19" xfId="68" applyNumberFormat="1" applyFont="1" applyFill="1" applyBorder="1" applyAlignment="1" applyProtection="1">
      <alignment horizontal="left" vertical="justify"/>
      <protection/>
    </xf>
    <xf numFmtId="0" fontId="17" fillId="0" borderId="53" xfId="68" applyNumberFormat="1" applyFont="1" applyFill="1" applyBorder="1" applyAlignment="1" applyProtection="1">
      <alignment vertical="top"/>
      <protection/>
    </xf>
    <xf numFmtId="0" fontId="17" fillId="0" borderId="54" xfId="68" applyNumberFormat="1" applyFont="1" applyFill="1" applyBorder="1" applyAlignment="1" applyProtection="1">
      <alignment vertical="top"/>
      <protection/>
    </xf>
    <xf numFmtId="0" fontId="17" fillId="0" borderId="55" xfId="68" applyNumberFormat="1" applyFont="1" applyFill="1" applyBorder="1" applyAlignment="1" applyProtection="1">
      <alignment horizontal="center" vertical="center"/>
      <protection/>
    </xf>
    <xf numFmtId="0" fontId="17" fillId="0" borderId="56" xfId="68" applyNumberFormat="1" applyFont="1" applyFill="1" applyBorder="1" applyAlignment="1" applyProtection="1">
      <alignment vertical="top"/>
      <protection/>
    </xf>
    <xf numFmtId="0" fontId="17" fillId="0" borderId="46" xfId="68" applyNumberFormat="1" applyFont="1" applyFill="1" applyBorder="1" applyAlignment="1" applyProtection="1">
      <alignment vertical="top"/>
      <protection/>
    </xf>
    <xf numFmtId="0" fontId="17" fillId="0" borderId="57" xfId="68" applyNumberFormat="1" applyFont="1" applyFill="1" applyBorder="1" applyAlignment="1" applyProtection="1">
      <alignment horizontal="center" vertical="center"/>
      <protection/>
    </xf>
    <xf numFmtId="0" fontId="17" fillId="0" borderId="58" xfId="68" applyNumberFormat="1" applyFont="1" applyFill="1" applyBorder="1" applyAlignment="1" applyProtection="1">
      <alignment vertical="top"/>
      <protection/>
    </xf>
    <xf numFmtId="0" fontId="17" fillId="0" borderId="37" xfId="68" applyNumberFormat="1" applyFont="1" applyFill="1" applyBorder="1" applyAlignment="1" applyProtection="1">
      <alignment vertical="top"/>
      <protection/>
    </xf>
    <xf numFmtId="0" fontId="17" fillId="0" borderId="34" xfId="68" applyNumberFormat="1" applyFont="1" applyFill="1" applyBorder="1" applyAlignment="1" applyProtection="1">
      <alignment horizontal="center" vertical="center"/>
      <protection/>
    </xf>
    <xf numFmtId="0" fontId="1" fillId="0" borderId="0" xfId="68" applyNumberFormat="1" applyFont="1" applyFill="1" applyBorder="1" applyAlignment="1" applyProtection="1">
      <alignment horizontal="left" vertical="justify"/>
      <protection/>
    </xf>
    <xf numFmtId="174" fontId="1" fillId="0" borderId="0" xfId="68" applyNumberFormat="1" applyFont="1" applyFill="1" applyBorder="1" applyAlignment="1" applyProtection="1">
      <alignment vertical="justify"/>
      <protection/>
    </xf>
    <xf numFmtId="2" fontId="43" fillId="0" borderId="29" xfId="73" applyNumberFormat="1" applyFont="1" applyFill="1" applyBorder="1" applyAlignment="1">
      <alignment horizontal="center" vertical="center"/>
      <protection/>
    </xf>
    <xf numFmtId="10" fontId="43" fillId="0" borderId="29" xfId="81" applyNumberFormat="1" applyFont="1" applyFill="1" applyBorder="1" applyAlignment="1">
      <alignment horizontal="center" vertical="center"/>
    </xf>
    <xf numFmtId="172" fontId="43" fillId="0" borderId="29" xfId="81" applyNumberFormat="1" applyFont="1" applyFill="1" applyBorder="1" applyAlignment="1">
      <alignment horizontal="center" vertical="center"/>
    </xf>
    <xf numFmtId="2" fontId="44" fillId="0" borderId="29" xfId="73" applyNumberFormat="1" applyFont="1" applyFill="1" applyBorder="1" applyAlignment="1">
      <alignment horizontal="center" vertical="center"/>
      <protection/>
    </xf>
    <xf numFmtId="0" fontId="1" fillId="0" borderId="54" xfId="69" applyNumberFormat="1" applyFont="1" applyFill="1" applyBorder="1" applyAlignment="1" applyProtection="1">
      <alignment horizontal="left" vertical="justify"/>
      <protection/>
    </xf>
    <xf numFmtId="2" fontId="1" fillId="0" borderId="16" xfId="69" applyNumberFormat="1" applyFont="1" applyFill="1" applyBorder="1" applyAlignment="1" applyProtection="1">
      <alignment vertical="top"/>
      <protection/>
    </xf>
    <xf numFmtId="2" fontId="1" fillId="0" borderId="8" xfId="69" applyNumberFormat="1" applyFont="1" applyFill="1" applyBorder="1" applyAlignment="1" applyProtection="1">
      <alignment vertical="top"/>
      <protection/>
    </xf>
    <xf numFmtId="2" fontId="1" fillId="0" borderId="17" xfId="69" applyNumberFormat="1" applyFont="1" applyFill="1" applyBorder="1" applyAlignment="1" applyProtection="1">
      <alignment vertical="top"/>
      <protection/>
    </xf>
    <xf numFmtId="2" fontId="14" fillId="0" borderId="18" xfId="69" applyNumberFormat="1" applyFont="1" applyFill="1" applyBorder="1" applyAlignment="1" applyProtection="1">
      <alignment vertical="top"/>
      <protection/>
    </xf>
    <xf numFmtId="2" fontId="14" fillId="0" borderId="19" xfId="69" applyNumberFormat="1" applyFont="1" applyFill="1" applyBorder="1" applyAlignment="1" applyProtection="1">
      <alignment vertical="top"/>
      <protection/>
    </xf>
    <xf numFmtId="2" fontId="14" fillId="0" borderId="20" xfId="69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>
      <alignment vertical="center" wrapText="1"/>
    </xf>
    <xf numFmtId="175" fontId="0" fillId="0" borderId="0" xfId="0" applyNumberFormat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175" fontId="22" fillId="0" borderId="59" xfId="0" applyNumberFormat="1" applyFont="1" applyFill="1" applyBorder="1" applyAlignment="1">
      <alignment vertical="top" wrapText="1"/>
    </xf>
    <xf numFmtId="172" fontId="22" fillId="0" borderId="32" xfId="0" applyNumberFormat="1" applyFont="1" applyFill="1" applyBorder="1" applyAlignment="1">
      <alignment vertical="top" wrapText="1"/>
    </xf>
    <xf numFmtId="172" fontId="22" fillId="0" borderId="18" xfId="0" applyNumberFormat="1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right" vertical="justify" wrapText="1"/>
    </xf>
    <xf numFmtId="0" fontId="22" fillId="0" borderId="14" xfId="0" applyFont="1" applyFill="1" applyBorder="1" applyAlignment="1">
      <alignment horizontal="right" vertical="justify" wrapText="1"/>
    </xf>
    <xf numFmtId="0" fontId="22" fillId="0" borderId="15" xfId="0" applyFont="1" applyFill="1" applyBorder="1" applyAlignment="1">
      <alignment horizontal="right" vertical="justify" wrapText="1"/>
    </xf>
    <xf numFmtId="0" fontId="23" fillId="0" borderId="8" xfId="0" applyFont="1" applyFill="1" applyBorder="1" applyAlignment="1">
      <alignment horizontal="right" vertical="justify"/>
    </xf>
    <xf numFmtId="175" fontId="14" fillId="0" borderId="8" xfId="0" applyNumberFormat="1" applyFont="1" applyFill="1" applyBorder="1" applyAlignment="1">
      <alignment horizontal="center" vertical="center" wrapText="1"/>
    </xf>
    <xf numFmtId="175" fontId="22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75" fontId="14" fillId="0" borderId="29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justify" wrapText="1"/>
    </xf>
    <xf numFmtId="0" fontId="14" fillId="0" borderId="14" xfId="0" applyFont="1" applyFill="1" applyBorder="1" applyAlignment="1">
      <alignment horizontal="left" vertical="justify" wrapText="1"/>
    </xf>
    <xf numFmtId="0" fontId="14" fillId="0" borderId="15" xfId="0" applyFont="1" applyFill="1" applyBorder="1" applyAlignment="1">
      <alignment horizontal="left" vertical="justify" wrapText="1"/>
    </xf>
    <xf numFmtId="0" fontId="45" fillId="0" borderId="16" xfId="0" applyFont="1" applyFill="1" applyBorder="1" applyAlignment="1">
      <alignment horizontal="center" vertical="center" wrapText="1"/>
    </xf>
    <xf numFmtId="175" fontId="1" fillId="0" borderId="17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10" fontId="17" fillId="0" borderId="16" xfId="68" applyNumberFormat="1" applyFont="1" applyFill="1" applyBorder="1" applyAlignment="1" applyProtection="1">
      <alignment horizontal="center" vertical="top"/>
      <protection/>
    </xf>
    <xf numFmtId="2" fontId="17" fillId="0" borderId="17" xfId="68" applyNumberFormat="1" applyFont="1" applyFill="1" applyBorder="1" applyAlignment="1" applyProtection="1">
      <alignment vertical="top"/>
      <protection/>
    </xf>
    <xf numFmtId="2" fontId="0" fillId="0" borderId="8" xfId="0" applyNumberFormat="1" applyBorder="1" applyAlignment="1">
      <alignment horizontal="center" vertical="center" wrapText="1"/>
    </xf>
    <xf numFmtId="0" fontId="45" fillId="0" borderId="61" xfId="0" applyFont="1" applyBorder="1" applyAlignment="1">
      <alignment vertical="center" wrapText="1"/>
    </xf>
    <xf numFmtId="0" fontId="45" fillId="0" borderId="61" xfId="0" applyFont="1" applyBorder="1" applyAlignment="1">
      <alignment vertical="top" wrapText="1"/>
    </xf>
    <xf numFmtId="0" fontId="45" fillId="0" borderId="45" xfId="0" applyFont="1" applyBorder="1" applyAlignment="1">
      <alignment vertical="top" wrapText="1"/>
    </xf>
    <xf numFmtId="0" fontId="20" fillId="0" borderId="32" xfId="0" applyFon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 vertical="center" wrapText="1"/>
    </xf>
    <xf numFmtId="2" fontId="49" fillId="0" borderId="62" xfId="0" applyNumberFormat="1" applyFont="1" applyFill="1" applyBorder="1" applyAlignment="1">
      <alignment horizontal="center" vertical="center" wrapText="1"/>
    </xf>
    <xf numFmtId="2" fontId="49" fillId="0" borderId="30" xfId="0" applyNumberFormat="1" applyFont="1" applyFill="1" applyBorder="1" applyAlignment="1">
      <alignment horizontal="center" vertical="center" wrapText="1"/>
    </xf>
    <xf numFmtId="2" fontId="0" fillId="0" borderId="63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64" xfId="0" applyNumberForma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 wrapText="1"/>
    </xf>
    <xf numFmtId="2" fontId="0" fillId="0" borderId="65" xfId="0" applyNumberForma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2" fontId="0" fillId="0" borderId="66" xfId="0" applyNumberFormat="1" applyFill="1" applyBorder="1" applyAlignment="1">
      <alignment horizontal="center" vertical="center" wrapText="1"/>
    </xf>
    <xf numFmtId="10" fontId="50" fillId="0" borderId="0" xfId="0" applyNumberFormat="1" applyFont="1" applyAlignment="1">
      <alignment horizontal="center"/>
    </xf>
    <xf numFmtId="2" fontId="0" fillId="0" borderId="19" xfId="0" applyNumberFormat="1" applyBorder="1" applyAlignment="1">
      <alignment horizontal="center" vertical="center" wrapText="1"/>
    </xf>
    <xf numFmtId="0" fontId="45" fillId="0" borderId="41" xfId="0" applyFont="1" applyBorder="1" applyAlignment="1">
      <alignment vertical="top" wrapText="1"/>
    </xf>
    <xf numFmtId="175" fontId="31" fillId="0" borderId="8" xfId="0" applyNumberFormat="1" applyFont="1" applyFill="1" applyBorder="1" applyAlignment="1">
      <alignment horizontal="right" vertical="center" wrapText="1"/>
    </xf>
    <xf numFmtId="175" fontId="31" fillId="0" borderId="16" xfId="0" applyNumberFormat="1" applyFont="1" applyFill="1" applyBorder="1" applyAlignment="1">
      <alignment horizontal="right" vertical="center" wrapText="1"/>
    </xf>
    <xf numFmtId="0" fontId="51" fillId="0" borderId="52" xfId="68" applyNumberFormat="1" applyFont="1" applyFill="1" applyBorder="1" applyAlignment="1" applyProtection="1">
      <alignment horizontal="center" vertical="center" wrapText="1"/>
      <protection/>
    </xf>
    <xf numFmtId="0" fontId="52" fillId="0" borderId="67" xfId="68" applyNumberFormat="1" applyFont="1" applyFill="1" applyBorder="1" applyAlignment="1" applyProtection="1">
      <alignment horizontal="center" vertical="center" wrapText="1"/>
      <protection/>
    </xf>
    <xf numFmtId="0" fontId="51" fillId="0" borderId="42" xfId="68" applyNumberFormat="1" applyFont="1" applyFill="1" applyBorder="1" applyAlignment="1" applyProtection="1">
      <alignment horizontal="center" vertical="center" wrapText="1"/>
      <protection/>
    </xf>
    <xf numFmtId="0" fontId="52" fillId="0" borderId="51" xfId="68" applyNumberFormat="1" applyFont="1" applyFill="1" applyBorder="1" applyAlignment="1" applyProtection="1">
      <alignment horizontal="center" vertical="center" wrapText="1"/>
      <protection/>
    </xf>
    <xf numFmtId="172" fontId="22" fillId="0" borderId="0" xfId="0" applyNumberFormat="1" applyFont="1" applyFill="1" applyBorder="1" applyAlignment="1">
      <alignment horizontal="righ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37" fillId="0" borderId="23" xfId="75" applyBorder="1" applyAlignment="1">
      <alignment horizontal="center" vertical="center"/>
      <protection/>
    </xf>
    <xf numFmtId="0" fontId="30" fillId="0" borderId="0" xfId="75" applyFont="1" applyBorder="1" applyAlignment="1">
      <alignment horizontal="center" vertical="center" wrapText="1"/>
      <protection/>
    </xf>
    <xf numFmtId="172" fontId="37" fillId="0" borderId="8" xfId="75" applyNumberFormat="1" applyBorder="1" applyAlignment="1">
      <alignment vertical="center" wrapText="1"/>
      <protection/>
    </xf>
    <xf numFmtId="172" fontId="37" fillId="0" borderId="0" xfId="75" applyNumberFormat="1" applyBorder="1" applyAlignment="1">
      <alignment vertical="center" wrapText="1"/>
      <protection/>
    </xf>
    <xf numFmtId="0" fontId="11" fillId="0" borderId="0" xfId="75" applyFont="1" applyBorder="1" applyAlignment="1">
      <alignment/>
      <protection/>
    </xf>
    <xf numFmtId="0" fontId="37" fillId="0" borderId="0" xfId="75" applyBorder="1" applyAlignment="1">
      <alignment/>
      <protection/>
    </xf>
    <xf numFmtId="0" fontId="11" fillId="0" borderId="0" xfId="75" applyFont="1" applyBorder="1" applyAlignment="1">
      <alignment/>
      <protection/>
    </xf>
    <xf numFmtId="17" fontId="37" fillId="0" borderId="8" xfId="75" applyNumberFormat="1" applyFont="1" applyBorder="1" applyAlignment="1">
      <alignment horizontal="center" vertical="center" wrapText="1"/>
      <protection/>
    </xf>
    <xf numFmtId="172" fontId="33" fillId="0" borderId="8" xfId="75" applyNumberFormat="1" applyFont="1" applyBorder="1" applyAlignment="1">
      <alignment vertical="center" wrapText="1"/>
      <protection/>
    </xf>
    <xf numFmtId="10" fontId="1" fillId="0" borderId="0" xfId="68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175" fontId="5" fillId="0" borderId="33" xfId="69" applyNumberFormat="1" applyFont="1" applyFill="1" applyBorder="1" applyAlignment="1" applyProtection="1">
      <alignment horizontal="center" vertical="center"/>
      <protection/>
    </xf>
    <xf numFmtId="172" fontId="43" fillId="0" borderId="33" xfId="81" applyNumberFormat="1" applyFont="1" applyFill="1" applyBorder="1" applyAlignment="1">
      <alignment horizontal="center" vertical="center"/>
    </xf>
    <xf numFmtId="175" fontId="28" fillId="0" borderId="0" xfId="69" applyNumberFormat="1" applyFont="1" applyFill="1" applyBorder="1" applyAlignment="1" applyProtection="1">
      <alignment vertical="top"/>
      <protection/>
    </xf>
    <xf numFmtId="10" fontId="1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2" fontId="27" fillId="0" borderId="8" xfId="0" applyNumberFormat="1" applyFont="1" applyFill="1" applyBorder="1" applyAlignment="1">
      <alignment vertical="top" wrapText="1"/>
    </xf>
    <xf numFmtId="2" fontId="1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10" fontId="1" fillId="0" borderId="33" xfId="0" applyNumberFormat="1" applyFont="1" applyBorder="1" applyAlignment="1">
      <alignment vertical="center" wrapText="1"/>
    </xf>
    <xf numFmtId="2" fontId="1" fillId="0" borderId="35" xfId="0" applyNumberFormat="1" applyFon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2" fontId="1" fillId="0" borderId="33" xfId="0" applyNumberFormat="1" applyFont="1" applyFill="1" applyBorder="1" applyAlignment="1">
      <alignment vertical="top" wrapText="1"/>
    </xf>
    <xf numFmtId="2" fontId="45" fillId="0" borderId="33" xfId="0" applyNumberFormat="1" applyFont="1" applyFill="1" applyBorder="1" applyAlignment="1">
      <alignment vertical="top" wrapText="1"/>
    </xf>
    <xf numFmtId="4" fontId="1" fillId="0" borderId="33" xfId="0" applyNumberFormat="1" applyFont="1" applyFill="1" applyBorder="1" applyAlignment="1">
      <alignment vertical="top" wrapText="1"/>
    </xf>
    <xf numFmtId="4" fontId="20" fillId="0" borderId="33" xfId="0" applyNumberFormat="1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175" fontId="31" fillId="0" borderId="17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173" fontId="37" fillId="0" borderId="0" xfId="0" applyNumberFormat="1" applyFont="1" applyAlignment="1">
      <alignment horizontal="center"/>
    </xf>
    <xf numFmtId="2" fontId="1" fillId="0" borderId="17" xfId="0" applyNumberFormat="1" applyFont="1" applyBorder="1" applyAlignment="1">
      <alignment vertical="center" wrapText="1"/>
    </xf>
    <xf numFmtId="173" fontId="29" fillId="0" borderId="0" xfId="0" applyNumberFormat="1" applyFont="1" applyAlignment="1">
      <alignment horizontal="center"/>
    </xf>
    <xf numFmtId="0" fontId="37" fillId="0" borderId="29" xfId="75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75" fontId="1" fillId="0" borderId="23" xfId="0" applyNumberFormat="1" applyFont="1" applyBorder="1" applyAlignment="1">
      <alignment vertical="top" wrapText="1"/>
    </xf>
    <xf numFmtId="175" fontId="1" fillId="0" borderId="23" xfId="0" applyNumberFormat="1" applyFont="1" applyFill="1" applyBorder="1" applyAlignment="1">
      <alignment vertical="top" wrapText="1"/>
    </xf>
    <xf numFmtId="0" fontId="0" fillId="0" borderId="6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75" fontId="1" fillId="0" borderId="22" xfId="0" applyNumberFormat="1" applyFont="1" applyBorder="1" applyAlignment="1">
      <alignment vertical="top" wrapText="1"/>
    </xf>
    <xf numFmtId="175" fontId="21" fillId="0" borderId="24" xfId="0" applyNumberFormat="1" applyFont="1" applyFill="1" applyBorder="1" applyAlignment="1">
      <alignment vertical="top" wrapText="1"/>
    </xf>
    <xf numFmtId="2" fontId="14" fillId="0" borderId="16" xfId="0" applyNumberFormat="1" applyFont="1" applyFill="1" applyBorder="1" applyAlignment="1">
      <alignment vertical="top" wrapText="1"/>
    </xf>
    <xf numFmtId="175" fontId="21" fillId="0" borderId="17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72" fontId="1" fillId="0" borderId="17" xfId="0" applyNumberFormat="1" applyFont="1" applyFill="1" applyBorder="1" applyAlignment="1">
      <alignment vertical="top" wrapText="1"/>
    </xf>
    <xf numFmtId="1" fontId="1" fillId="0" borderId="16" xfId="0" applyNumberFormat="1" applyFont="1" applyFill="1" applyBorder="1" applyAlignment="1">
      <alignment vertical="top" wrapText="1"/>
    </xf>
    <xf numFmtId="175" fontId="21" fillId="0" borderId="17" xfId="0" applyNumberFormat="1" applyFont="1" applyFill="1" applyBorder="1" applyAlignment="1">
      <alignment vertical="justify" wrapText="1"/>
    </xf>
    <xf numFmtId="174" fontId="1" fillId="0" borderId="16" xfId="0" applyNumberFormat="1" applyFont="1" applyFill="1" applyBorder="1" applyAlignment="1">
      <alignment vertical="top" wrapText="1"/>
    </xf>
    <xf numFmtId="175" fontId="24" fillId="0" borderId="16" xfId="0" applyNumberFormat="1" applyFont="1" applyFill="1" applyBorder="1" applyAlignment="1">
      <alignment vertical="justify"/>
    </xf>
    <xf numFmtId="2" fontId="25" fillId="0" borderId="16" xfId="0" applyNumberFormat="1" applyFont="1" applyFill="1" applyBorder="1" applyAlignment="1">
      <alignment vertical="top" wrapText="1"/>
    </xf>
    <xf numFmtId="175" fontId="1" fillId="0" borderId="22" xfId="0" applyNumberFormat="1" applyFont="1" applyFill="1" applyBorder="1" applyAlignment="1">
      <alignment vertical="top" wrapText="1"/>
    </xf>
    <xf numFmtId="174" fontId="21" fillId="0" borderId="24" xfId="0" applyNumberFormat="1" applyFont="1" applyFill="1" applyBorder="1" applyAlignment="1">
      <alignment vertical="top" wrapText="1"/>
    </xf>
    <xf numFmtId="174" fontId="21" fillId="0" borderId="17" xfId="0" applyNumberFormat="1" applyFont="1" applyFill="1" applyBorder="1" applyAlignment="1">
      <alignment vertical="top" wrapText="1"/>
    </xf>
    <xf numFmtId="172" fontId="1" fillId="0" borderId="16" xfId="0" applyNumberFormat="1" applyFont="1" applyFill="1" applyBorder="1" applyAlignment="1">
      <alignment vertical="top" wrapText="1"/>
    </xf>
    <xf numFmtId="2" fontId="17" fillId="0" borderId="17" xfId="0" applyNumberFormat="1" applyFont="1" applyFill="1" applyBorder="1" applyAlignment="1">
      <alignment vertical="top" wrapText="1"/>
    </xf>
    <xf numFmtId="2" fontId="27" fillId="0" borderId="16" xfId="0" applyNumberFormat="1" applyFont="1" applyFill="1" applyBorder="1" applyAlignment="1">
      <alignment vertical="top" wrapText="1"/>
    </xf>
    <xf numFmtId="2" fontId="27" fillId="0" borderId="17" xfId="0" applyNumberFormat="1" applyFont="1" applyFill="1" applyBorder="1" applyAlignment="1">
      <alignment vertical="top" wrapText="1"/>
    </xf>
    <xf numFmtId="175" fontId="14" fillId="0" borderId="16" xfId="0" applyNumberFormat="1" applyFont="1" applyFill="1" applyBorder="1" applyAlignment="1">
      <alignment vertical="justify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64" fillId="0" borderId="0" xfId="75" applyFont="1" applyBorder="1" applyAlignment="1">
      <alignment wrapText="1"/>
      <protection/>
    </xf>
    <xf numFmtId="172" fontId="37" fillId="0" borderId="0" xfId="75" applyNumberFormat="1" applyBorder="1">
      <alignment/>
      <protection/>
    </xf>
    <xf numFmtId="0" fontId="29" fillId="0" borderId="0" xfId="75" applyFont="1" applyBorder="1" applyAlignment="1">
      <alignment/>
      <protection/>
    </xf>
    <xf numFmtId="0" fontId="30" fillId="0" borderId="8" xfId="75" applyFont="1" applyBorder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8" xfId="0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46" fillId="0" borderId="22" xfId="68" applyNumberFormat="1" applyFont="1" applyFill="1" applyBorder="1" applyAlignment="1" applyProtection="1">
      <alignment horizontal="center" vertical="center"/>
      <protection/>
    </xf>
    <xf numFmtId="0" fontId="17" fillId="0" borderId="23" xfId="68" applyNumberFormat="1" applyFont="1" applyFill="1" applyBorder="1" applyAlignment="1" applyProtection="1">
      <alignment horizontal="left" vertical="top" wrapText="1"/>
      <protection/>
    </xf>
    <xf numFmtId="0" fontId="17" fillId="0" borderId="42" xfId="68" applyNumberFormat="1" applyFont="1" applyFill="1" applyBorder="1" applyAlignment="1" applyProtection="1">
      <alignment horizontal="center" vertical="center"/>
      <protection/>
    </xf>
    <xf numFmtId="0" fontId="17" fillId="0" borderId="39" xfId="68" applyNumberFormat="1" applyFont="1" applyFill="1" applyBorder="1" applyAlignment="1" applyProtection="1">
      <alignment horizontal="center" vertical="center"/>
      <protection/>
    </xf>
    <xf numFmtId="0" fontId="17" fillId="0" borderId="59" xfId="68" applyNumberFormat="1" applyFont="1" applyFill="1" applyBorder="1" applyAlignment="1" applyProtection="1">
      <alignment horizontal="center" vertical="center"/>
      <protection/>
    </xf>
    <xf numFmtId="0" fontId="17" fillId="0" borderId="51" xfId="68" applyNumberFormat="1" applyFont="1" applyFill="1" applyBorder="1" applyAlignment="1" applyProtection="1">
      <alignment horizontal="center" vertical="center"/>
      <protection/>
    </xf>
    <xf numFmtId="0" fontId="17" fillId="0" borderId="45" xfId="68" applyNumberFormat="1" applyFont="1" applyFill="1" applyBorder="1" applyAlignment="1" applyProtection="1">
      <alignment horizontal="center" vertical="top"/>
      <protection/>
    </xf>
    <xf numFmtId="0" fontId="17" fillId="0" borderId="51" xfId="68" applyNumberFormat="1" applyFont="1" applyFill="1" applyBorder="1" applyAlignment="1" applyProtection="1">
      <alignment horizontal="center" vertical="top"/>
      <protection/>
    </xf>
    <xf numFmtId="2" fontId="62" fillId="0" borderId="0" xfId="0" applyNumberFormat="1" applyFont="1" applyAlignment="1">
      <alignment/>
    </xf>
    <xf numFmtId="172" fontId="22" fillId="0" borderId="19" xfId="0" applyNumberFormat="1" applyFont="1" applyFill="1" applyBorder="1" applyAlignment="1">
      <alignment vertical="top" wrapText="1"/>
    </xf>
    <xf numFmtId="172" fontId="22" fillId="0" borderId="39" xfId="0" applyNumberFormat="1" applyFont="1" applyFill="1" applyBorder="1" applyAlignment="1">
      <alignment vertical="top" wrapText="1"/>
    </xf>
    <xf numFmtId="2" fontId="22" fillId="0" borderId="64" xfId="0" applyNumberFormat="1" applyFont="1" applyFill="1" applyBorder="1" applyAlignment="1">
      <alignment vertical="top" wrapText="1"/>
    </xf>
    <xf numFmtId="2" fontId="22" fillId="0" borderId="19" xfId="0" applyNumberFormat="1" applyFont="1" applyFill="1" applyBorder="1" applyAlignment="1">
      <alignment vertical="top" wrapText="1"/>
    </xf>
    <xf numFmtId="2" fontId="22" fillId="0" borderId="20" xfId="0" applyNumberFormat="1" applyFont="1" applyFill="1" applyBorder="1" applyAlignment="1">
      <alignment vertical="top" wrapText="1"/>
    </xf>
    <xf numFmtId="175" fontId="28" fillId="0" borderId="18" xfId="0" applyNumberFormat="1" applyFont="1" applyFill="1" applyBorder="1" applyAlignment="1">
      <alignment vertical="top" wrapText="1"/>
    </xf>
    <xf numFmtId="175" fontId="28" fillId="0" borderId="19" xfId="0" applyNumberFormat="1" applyFont="1" applyFill="1" applyBorder="1" applyAlignment="1">
      <alignment vertical="top" wrapText="1"/>
    </xf>
    <xf numFmtId="175" fontId="28" fillId="0" borderId="20" xfId="0" applyNumberFormat="1" applyFont="1" applyFill="1" applyBorder="1" applyAlignment="1">
      <alignment vertical="top" wrapText="1"/>
    </xf>
    <xf numFmtId="175" fontId="22" fillId="0" borderId="36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vertical="top" wrapText="1"/>
    </xf>
    <xf numFmtId="2" fontId="1" fillId="0" borderId="41" xfId="0" applyNumberFormat="1" applyFont="1" applyFill="1" applyBorder="1" applyAlignment="1">
      <alignment vertical="top" wrapText="1"/>
    </xf>
    <xf numFmtId="0" fontId="20" fillId="0" borderId="38" xfId="0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67" xfId="0" applyNumberFormat="1" applyFill="1" applyBorder="1" applyAlignment="1">
      <alignment horizontal="center" vertical="center" wrapText="1"/>
    </xf>
    <xf numFmtId="2" fontId="49" fillId="0" borderId="24" xfId="0" applyNumberFormat="1" applyFont="1" applyFill="1" applyBorder="1" applyAlignment="1">
      <alignment horizontal="center" vertical="center" wrapText="1"/>
    </xf>
    <xf numFmtId="2" fontId="49" fillId="0" borderId="15" xfId="0" applyNumberFormat="1" applyFont="1" applyFill="1" applyBorder="1" applyAlignment="1">
      <alignment horizontal="center" vertical="center" wrapText="1"/>
    </xf>
    <xf numFmtId="2" fontId="0" fillId="29" borderId="8" xfId="0" applyNumberFormat="1" applyFill="1" applyBorder="1" applyAlignment="1">
      <alignment horizontal="center" vertical="center" wrapText="1"/>
    </xf>
    <xf numFmtId="2" fontId="0" fillId="29" borderId="19" xfId="0" applyNumberFormat="1" applyFill="1" applyBorder="1" applyAlignment="1">
      <alignment horizontal="center" vertical="center" wrapText="1"/>
    </xf>
    <xf numFmtId="2" fontId="0" fillId="29" borderId="36" xfId="0" applyNumberFormat="1" applyFill="1" applyBorder="1" applyAlignment="1">
      <alignment horizontal="center" vertical="center" wrapText="1"/>
    </xf>
    <xf numFmtId="2" fontId="0" fillId="29" borderId="64" xfId="0" applyNumberFormat="1" applyFill="1" applyBorder="1" applyAlignment="1">
      <alignment horizontal="center" vertical="center" wrapText="1"/>
    </xf>
    <xf numFmtId="2" fontId="49" fillId="0" borderId="8" xfId="0" applyNumberFormat="1" applyFont="1" applyFill="1" applyBorder="1" applyAlignment="1">
      <alignment horizontal="center" vertical="center" wrapText="1"/>
    </xf>
    <xf numFmtId="2" fontId="49" fillId="0" borderId="29" xfId="0" applyNumberFormat="1" applyFont="1" applyFill="1" applyBorder="1" applyAlignment="1">
      <alignment horizontal="center" vertical="center" wrapText="1"/>
    </xf>
    <xf numFmtId="2" fontId="49" fillId="0" borderId="8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39" xfId="0" applyNumberFormat="1" applyFont="1" applyFill="1" applyBorder="1" applyAlignment="1">
      <alignment horizontal="center" vertical="center" wrapText="1"/>
    </xf>
    <xf numFmtId="2" fontId="49" fillId="0" borderId="43" xfId="0" applyNumberFormat="1" applyFont="1" applyFill="1" applyBorder="1" applyAlignment="1">
      <alignment horizontal="center" vertical="center" wrapText="1"/>
    </xf>
    <xf numFmtId="2" fontId="49" fillId="0" borderId="59" xfId="0" applyNumberFormat="1" applyFont="1" applyFill="1" applyBorder="1" applyAlignment="1">
      <alignment horizontal="center" vertical="center" wrapText="1"/>
    </xf>
    <xf numFmtId="2" fontId="49" fillId="0" borderId="51" xfId="0" applyNumberFormat="1" applyFont="1" applyFill="1" applyBorder="1" applyAlignment="1">
      <alignment horizontal="center" vertical="center" wrapText="1"/>
    </xf>
    <xf numFmtId="0" fontId="24" fillId="31" borderId="0" xfId="0" applyFont="1" applyFill="1" applyAlignment="1">
      <alignment/>
    </xf>
    <xf numFmtId="0" fontId="14" fillId="37" borderId="0" xfId="0" applyFont="1" applyFill="1" applyBorder="1" applyAlignment="1">
      <alignment vertical="top" wrapText="1"/>
    </xf>
    <xf numFmtId="10" fontId="1" fillId="0" borderId="17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" fillId="0" borderId="47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67" fillId="0" borderId="0" xfId="75" applyFont="1" applyBorder="1" applyAlignment="1">
      <alignment horizontal="center" vertical="center"/>
      <protection/>
    </xf>
    <xf numFmtId="172" fontId="0" fillId="0" borderId="0" xfId="0" applyNumberFormat="1" applyBorder="1" applyAlignment="1">
      <alignment/>
    </xf>
    <xf numFmtId="172" fontId="33" fillId="0" borderId="0" xfId="75" applyNumberFormat="1" applyFont="1" applyBorder="1" applyAlignment="1">
      <alignment vertical="center" wrapText="1"/>
      <protection/>
    </xf>
    <xf numFmtId="0" fontId="30" fillId="0" borderId="0" xfId="75" applyFont="1" applyBorder="1">
      <alignment/>
      <protection/>
    </xf>
    <xf numFmtId="172" fontId="41" fillId="0" borderId="0" xfId="75" applyNumberFormat="1" applyFont="1" applyBorder="1">
      <alignment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0" fontId="0" fillId="0" borderId="8" xfId="0" applyNumberFormat="1" applyFill="1" applyBorder="1" applyAlignment="1">
      <alignment/>
    </xf>
    <xf numFmtId="10" fontId="0" fillId="0" borderId="27" xfId="0" applyNumberFormat="1" applyFill="1" applyBorder="1" applyAlignment="1">
      <alignment/>
    </xf>
    <xf numFmtId="0" fontId="0" fillId="0" borderId="69" xfId="0" applyFill="1" applyBorder="1" applyAlignment="1">
      <alignment vertical="top" wrapText="1"/>
    </xf>
    <xf numFmtId="0" fontId="0" fillId="0" borderId="69" xfId="0" applyBorder="1" applyAlignment="1">
      <alignment/>
    </xf>
    <xf numFmtId="10" fontId="0" fillId="0" borderId="69" xfId="0" applyNumberFormat="1" applyFill="1" applyBorder="1" applyAlignment="1">
      <alignment/>
    </xf>
    <xf numFmtId="0" fontId="1" fillId="0" borderId="70" xfId="0" applyFont="1" applyBorder="1" applyAlignment="1">
      <alignment vertical="top" wrapText="1"/>
    </xf>
    <xf numFmtId="2" fontId="0" fillId="38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10" fontId="0" fillId="0" borderId="19" xfId="0" applyNumberFormat="1" applyFill="1" applyBorder="1" applyAlignment="1">
      <alignment/>
    </xf>
    <xf numFmtId="10" fontId="0" fillId="29" borderId="8" xfId="0" applyNumberFormat="1" applyFill="1" applyBorder="1" applyAlignment="1">
      <alignment/>
    </xf>
    <xf numFmtId="10" fontId="0" fillId="29" borderId="27" xfId="0" applyNumberFormat="1" applyFill="1" applyBorder="1" applyAlignment="1">
      <alignment/>
    </xf>
    <xf numFmtId="10" fontId="0" fillId="29" borderId="19" xfId="0" applyNumberFormat="1" applyFill="1" applyBorder="1" applyAlignment="1">
      <alignment/>
    </xf>
    <xf numFmtId="2" fontId="1" fillId="0" borderId="36" xfId="0" applyNumberFormat="1" applyFont="1" applyFill="1" applyBorder="1" applyAlignment="1">
      <alignment vertical="top" wrapText="1"/>
    </xf>
    <xf numFmtId="2" fontId="21" fillId="0" borderId="36" xfId="0" applyNumberFormat="1" applyFont="1" applyFill="1" applyBorder="1" applyAlignment="1">
      <alignment vertical="top" wrapText="1"/>
    </xf>
    <xf numFmtId="2" fontId="17" fillId="0" borderId="15" xfId="68" applyNumberFormat="1" applyFont="1" applyFill="1" applyBorder="1" applyAlignment="1" applyProtection="1">
      <alignment horizontal="center" vertical="center"/>
      <protection/>
    </xf>
    <xf numFmtId="2" fontId="17" fillId="0" borderId="29" xfId="68" applyNumberFormat="1" applyFont="1" applyFill="1" applyBorder="1" applyAlignment="1" applyProtection="1">
      <alignment horizontal="center" vertical="center"/>
      <protection/>
    </xf>
    <xf numFmtId="0" fontId="17" fillId="0" borderId="17" xfId="68" applyNumberFormat="1" applyFont="1" applyFill="1" applyBorder="1" applyAlignment="1" applyProtection="1">
      <alignment horizontal="center" vertical="center"/>
      <protection/>
    </xf>
    <xf numFmtId="2" fontId="17" fillId="0" borderId="16" xfId="68" applyNumberFormat="1" applyFont="1" applyFill="1" applyBorder="1" applyAlignment="1" applyProtection="1">
      <alignment horizontal="center" vertical="center"/>
      <protection/>
    </xf>
    <xf numFmtId="2" fontId="17" fillId="0" borderId="66" xfId="68" applyNumberFormat="1" applyFont="1" applyFill="1" applyBorder="1" applyAlignment="1" applyProtection="1">
      <alignment horizontal="center" vertical="top"/>
      <protection/>
    </xf>
    <xf numFmtId="2" fontId="17" fillId="0" borderId="36" xfId="68" applyNumberFormat="1" applyFont="1" applyFill="1" applyBorder="1" applyAlignment="1" applyProtection="1">
      <alignment horizontal="center" vertical="top"/>
      <protection/>
    </xf>
    <xf numFmtId="2" fontId="17" fillId="0" borderId="71" xfId="68" applyNumberFormat="1" applyFont="1" applyFill="1" applyBorder="1" applyAlignment="1" applyProtection="1">
      <alignment horizontal="center" vertical="top"/>
      <protection/>
    </xf>
    <xf numFmtId="10" fontId="17" fillId="0" borderId="72" xfId="68" applyNumberFormat="1" applyFont="1" applyFill="1" applyBorder="1" applyAlignment="1" applyProtection="1">
      <alignment horizontal="center" vertical="top"/>
      <protection/>
    </xf>
    <xf numFmtId="2" fontId="5" fillId="0" borderId="16" xfId="68" applyNumberFormat="1" applyFont="1" applyFill="1" applyBorder="1" applyAlignment="1" applyProtection="1">
      <alignment horizontal="center" vertical="center"/>
      <protection/>
    </xf>
    <xf numFmtId="175" fontId="5" fillId="0" borderId="16" xfId="68" applyNumberFormat="1" applyFont="1" applyFill="1" applyBorder="1" applyAlignment="1" applyProtection="1">
      <alignment horizontal="center" vertical="center"/>
      <protection/>
    </xf>
    <xf numFmtId="174" fontId="17" fillId="0" borderId="16" xfId="68" applyNumberFormat="1" applyFont="1" applyFill="1" applyBorder="1" applyAlignment="1" applyProtection="1">
      <alignment horizontal="center" vertical="center"/>
      <protection/>
    </xf>
    <xf numFmtId="174" fontId="17" fillId="0" borderId="36" xfId="68" applyNumberFormat="1" applyFont="1" applyFill="1" applyBorder="1" applyAlignment="1" applyProtection="1">
      <alignment horizontal="center" vertical="center"/>
      <protection/>
    </xf>
    <xf numFmtId="174" fontId="17" fillId="0" borderId="72" xfId="68" applyNumberFormat="1" applyFont="1" applyFill="1" applyBorder="1" applyAlignment="1" applyProtection="1">
      <alignment horizontal="center" vertical="center"/>
      <protection/>
    </xf>
    <xf numFmtId="174" fontId="17" fillId="0" borderId="18" xfId="68" applyNumberFormat="1" applyFont="1" applyFill="1" applyBorder="1" applyAlignment="1" applyProtection="1">
      <alignment horizontal="center" vertical="center"/>
      <protection/>
    </xf>
    <xf numFmtId="0" fontId="17" fillId="0" borderId="0" xfId="68" applyNumberFormat="1" applyFont="1" applyFill="1" applyBorder="1" applyAlignment="1" applyProtection="1">
      <alignment horizontal="center" vertical="center"/>
      <protection/>
    </xf>
    <xf numFmtId="2" fontId="17" fillId="0" borderId="0" xfId="68" applyNumberFormat="1" applyFont="1" applyFill="1" applyBorder="1" applyAlignment="1" applyProtection="1">
      <alignment horizontal="center" vertical="center"/>
      <protection/>
    </xf>
    <xf numFmtId="2" fontId="17" fillId="0" borderId="50" xfId="68" applyNumberFormat="1" applyFont="1" applyFill="1" applyBorder="1" applyAlignment="1" applyProtection="1">
      <alignment horizontal="center" vertical="center"/>
      <protection/>
    </xf>
    <xf numFmtId="174" fontId="17" fillId="0" borderId="64" xfId="68" applyNumberFormat="1" applyFont="1" applyFill="1" applyBorder="1" applyAlignment="1" applyProtection="1">
      <alignment horizontal="center" vertical="center"/>
      <protection/>
    </xf>
    <xf numFmtId="1" fontId="1" fillId="0" borderId="0" xfId="68" applyNumberFormat="1" applyFont="1" applyFill="1" applyBorder="1" applyAlignment="1" applyProtection="1">
      <alignment vertical="top"/>
      <protection/>
    </xf>
    <xf numFmtId="2" fontId="17" fillId="0" borderId="13" xfId="68" applyNumberFormat="1" applyFont="1" applyFill="1" applyBorder="1" applyAlignment="1" applyProtection="1">
      <alignment horizontal="center" vertical="center"/>
      <protection/>
    </xf>
    <xf numFmtId="2" fontId="17" fillId="0" borderId="56" xfId="68" applyNumberFormat="1" applyFont="1" applyFill="1" applyBorder="1" applyAlignment="1" applyProtection="1">
      <alignment horizontal="center" vertical="center"/>
      <protection/>
    </xf>
    <xf numFmtId="2" fontId="17" fillId="0" borderId="73" xfId="68" applyNumberFormat="1" applyFont="1" applyFill="1" applyBorder="1" applyAlignment="1" applyProtection="1">
      <alignment horizontal="center" vertical="center"/>
      <protection/>
    </xf>
    <xf numFmtId="2" fontId="17" fillId="0" borderId="18" xfId="68" applyNumberFormat="1" applyFont="1" applyFill="1" applyBorder="1" applyAlignment="1" applyProtection="1">
      <alignment horizontal="center" vertical="center"/>
      <protection/>
    </xf>
    <xf numFmtId="2" fontId="17" fillId="0" borderId="20" xfId="68" applyNumberFormat="1" applyFont="1" applyFill="1" applyBorder="1" applyAlignment="1" applyProtection="1">
      <alignment horizontal="center" vertical="center"/>
      <protection/>
    </xf>
    <xf numFmtId="2" fontId="17" fillId="0" borderId="30" xfId="68" applyNumberFormat="1" applyFont="1" applyFill="1" applyBorder="1" applyAlignment="1" applyProtection="1">
      <alignment horizontal="center" vertical="center"/>
      <protection/>
    </xf>
    <xf numFmtId="2" fontId="17" fillId="0" borderId="31" xfId="68" applyNumberFormat="1" applyFont="1" applyFill="1" applyBorder="1" applyAlignment="1" applyProtection="1">
      <alignment horizontal="center" vertical="center"/>
      <protection/>
    </xf>
    <xf numFmtId="2" fontId="17" fillId="0" borderId="74" xfId="68" applyNumberFormat="1" applyFont="1" applyFill="1" applyBorder="1" applyAlignment="1" applyProtection="1">
      <alignment horizontal="center" vertical="top"/>
      <protection/>
    </xf>
    <xf numFmtId="10" fontId="17" fillId="0" borderId="71" xfId="68" applyNumberFormat="1" applyFont="1" applyFill="1" applyBorder="1" applyAlignment="1" applyProtection="1">
      <alignment horizontal="center" vertical="top"/>
      <protection/>
    </xf>
    <xf numFmtId="2" fontId="5" fillId="0" borderId="71" xfId="68" applyNumberFormat="1" applyFont="1" applyFill="1" applyBorder="1" applyAlignment="1" applyProtection="1">
      <alignment horizontal="center" vertical="center"/>
      <protection/>
    </xf>
    <xf numFmtId="0" fontId="1" fillId="0" borderId="0" xfId="68" applyNumberFormat="1" applyFont="1" applyFill="1" applyBorder="1" applyAlignment="1" applyProtection="1">
      <alignment horizontal="left" vertical="justify"/>
      <protection/>
    </xf>
    <xf numFmtId="172" fontId="1" fillId="0" borderId="0" xfId="68" applyNumberFormat="1" applyFont="1" applyFill="1" applyBorder="1" applyAlignment="1" applyProtection="1">
      <alignment vertical="top"/>
      <protection/>
    </xf>
    <xf numFmtId="0" fontId="17" fillId="0" borderId="71" xfId="68" applyNumberFormat="1" applyFont="1" applyFill="1" applyBorder="1" applyAlignment="1" applyProtection="1">
      <alignment horizontal="center" vertical="center"/>
      <protection/>
    </xf>
    <xf numFmtId="174" fontId="17" fillId="0" borderId="71" xfId="68" applyNumberFormat="1" applyFont="1" applyFill="1" applyBorder="1" applyAlignment="1" applyProtection="1">
      <alignment horizontal="center" vertical="center"/>
      <protection/>
    </xf>
    <xf numFmtId="174" fontId="17" fillId="0" borderId="75" xfId="68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/>
    </xf>
    <xf numFmtId="2" fontId="63" fillId="0" borderId="71" xfId="68" applyNumberFormat="1" applyFont="1" applyFill="1" applyBorder="1" applyAlignment="1" applyProtection="1">
      <alignment horizontal="center" vertical="center"/>
      <protection/>
    </xf>
    <xf numFmtId="2" fontId="1" fillId="0" borderId="0" xfId="68" applyNumberFormat="1" applyFont="1" applyFill="1" applyBorder="1" applyAlignment="1" applyProtection="1">
      <alignment horizontal="left" vertical="justify"/>
      <protection/>
    </xf>
    <xf numFmtId="2" fontId="45" fillId="0" borderId="66" xfId="68" applyNumberFormat="1" applyFont="1" applyFill="1" applyBorder="1" applyAlignment="1" applyProtection="1">
      <alignment horizontal="center" vertical="center"/>
      <protection/>
    </xf>
    <xf numFmtId="174" fontId="1" fillId="0" borderId="76" xfId="68" applyNumberFormat="1" applyFont="1" applyFill="1" applyBorder="1" applyAlignment="1" applyProtection="1">
      <alignment horizontal="center" vertical="center"/>
      <protection/>
    </xf>
    <xf numFmtId="174" fontId="1" fillId="0" borderId="40" xfId="68" applyNumberFormat="1" applyFont="1" applyFill="1" applyBorder="1" applyAlignment="1" applyProtection="1">
      <alignment horizontal="center" vertical="center"/>
      <protection/>
    </xf>
    <xf numFmtId="174" fontId="5" fillId="37" borderId="77" xfId="68" applyNumberFormat="1" applyFont="1" applyFill="1" applyBorder="1" applyAlignment="1" applyProtection="1">
      <alignment horizontal="center" vertical="center"/>
      <protection/>
    </xf>
    <xf numFmtId="2" fontId="1" fillId="0" borderId="50" xfId="68" applyNumberFormat="1" applyFont="1" applyFill="1" applyBorder="1" applyAlignment="1" applyProtection="1">
      <alignment horizontal="center" vertical="center"/>
      <protection/>
    </xf>
    <xf numFmtId="2" fontId="45" fillId="0" borderId="77" xfId="68" applyNumberFormat="1" applyFont="1" applyFill="1" applyBorder="1" applyAlignment="1" applyProtection="1">
      <alignment horizontal="center" vertical="center"/>
      <protection/>
    </xf>
    <xf numFmtId="2" fontId="1" fillId="0" borderId="63" xfId="68" applyNumberFormat="1" applyFont="1" applyFill="1" applyBorder="1" applyAlignment="1" applyProtection="1">
      <alignment horizontal="center" vertical="center"/>
      <protection/>
    </xf>
    <xf numFmtId="174" fontId="5" fillId="31" borderId="50" xfId="68" applyNumberFormat="1" applyFont="1" applyFill="1" applyBorder="1" applyAlignment="1" applyProtection="1">
      <alignment horizontal="center" vertical="center"/>
      <protection/>
    </xf>
    <xf numFmtId="2" fontId="45" fillId="0" borderId="50" xfId="68" applyNumberFormat="1" applyFont="1" applyFill="1" applyBorder="1" applyAlignment="1" applyProtection="1">
      <alignment horizontal="center" vertical="center"/>
      <protection/>
    </xf>
    <xf numFmtId="2" fontId="1" fillId="0" borderId="76" xfId="68" applyNumberFormat="1" applyFont="1" applyFill="1" applyBorder="1" applyAlignment="1" applyProtection="1">
      <alignment horizontal="center" vertical="center"/>
      <protection/>
    </xf>
    <xf numFmtId="2" fontId="45" fillId="0" borderId="63" xfId="68" applyNumberFormat="1" applyFont="1" applyFill="1" applyBorder="1" applyAlignment="1" applyProtection="1">
      <alignment horizontal="center" vertical="center"/>
      <protection/>
    </xf>
    <xf numFmtId="2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NumberFormat="1" applyBorder="1" applyAlignment="1">
      <alignment horizontal="left" wrapText="1"/>
    </xf>
    <xf numFmtId="2" fontId="22" fillId="0" borderId="18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 vertical="center" wrapText="1"/>
    </xf>
    <xf numFmtId="174" fontId="5" fillId="37" borderId="50" xfId="68" applyNumberFormat="1" applyFont="1" applyFill="1" applyBorder="1" applyAlignment="1" applyProtection="1">
      <alignment horizontal="center" vertical="center"/>
      <protection/>
    </xf>
    <xf numFmtId="2" fontId="1" fillId="0" borderId="77" xfId="68" applyNumberFormat="1" applyFont="1" applyFill="1" applyBorder="1" applyAlignment="1" applyProtection="1">
      <alignment horizontal="center" vertical="center"/>
      <protection/>
    </xf>
    <xf numFmtId="2" fontId="1" fillId="0" borderId="66" xfId="68" applyNumberFormat="1" applyFont="1" applyFill="1" applyBorder="1" applyAlignment="1" applyProtection="1">
      <alignment horizontal="center" vertical="center"/>
      <protection/>
    </xf>
    <xf numFmtId="2" fontId="1" fillId="0" borderId="40" xfId="68" applyNumberFormat="1" applyFont="1" applyFill="1" applyBorder="1" applyAlignment="1" applyProtection="1">
      <alignment horizontal="center" vertical="center"/>
      <protection/>
    </xf>
    <xf numFmtId="174" fontId="1" fillId="0" borderId="27" xfId="68" applyNumberFormat="1" applyFont="1" applyFill="1" applyBorder="1" applyAlignment="1" applyProtection="1">
      <alignment horizontal="center" vertical="center"/>
      <protection/>
    </xf>
    <xf numFmtId="2" fontId="1" fillId="0" borderId="78" xfId="68" applyNumberFormat="1" applyFont="1" applyFill="1" applyBorder="1" applyAlignment="1" applyProtection="1">
      <alignment horizontal="center" vertical="center"/>
      <protection/>
    </xf>
    <xf numFmtId="2" fontId="1" fillId="0" borderId="23" xfId="68" applyNumberFormat="1" applyFont="1" applyFill="1" applyBorder="1" applyAlignment="1" applyProtection="1">
      <alignment horizontal="center" vertical="center"/>
      <protection/>
    </xf>
    <xf numFmtId="2" fontId="1" fillId="0" borderId="27" xfId="68" applyNumberFormat="1" applyFont="1" applyFill="1" applyBorder="1" applyAlignment="1" applyProtection="1">
      <alignment horizontal="center" vertical="center"/>
      <protection/>
    </xf>
    <xf numFmtId="2" fontId="17" fillId="0" borderId="71" xfId="68" applyNumberFormat="1" applyFont="1" applyFill="1" applyBorder="1" applyAlignment="1" applyProtection="1">
      <alignment horizontal="center" vertical="center"/>
      <protection/>
    </xf>
    <xf numFmtId="0" fontId="1" fillId="0" borderId="50" xfId="68" applyNumberFormat="1" applyFont="1" applyFill="1" applyBorder="1" applyAlignment="1" applyProtection="1">
      <alignment vertical="top"/>
      <protection/>
    </xf>
    <xf numFmtId="174" fontId="1" fillId="0" borderId="50" xfId="68" applyNumberFormat="1" applyFont="1" applyFill="1" applyBorder="1" applyAlignment="1" applyProtection="1">
      <alignment vertical="top"/>
      <protection/>
    </xf>
    <xf numFmtId="174" fontId="1" fillId="0" borderId="63" xfId="68" applyNumberFormat="1" applyFont="1" applyFill="1" applyBorder="1" applyAlignment="1" applyProtection="1">
      <alignment vertical="top"/>
      <protection/>
    </xf>
    <xf numFmtId="174" fontId="1" fillId="0" borderId="44" xfId="68" applyNumberFormat="1" applyFont="1" applyFill="1" applyBorder="1" applyAlignment="1" applyProtection="1">
      <alignment vertical="top"/>
      <protection/>
    </xf>
    <xf numFmtId="0" fontId="1" fillId="0" borderId="0" xfId="68" applyNumberFormat="1" applyFont="1" applyFill="1" applyBorder="1" applyAlignment="1" applyProtection="1">
      <alignment horizontal="right" vertical="center"/>
      <protection/>
    </xf>
    <xf numFmtId="174" fontId="45" fillId="0" borderId="0" xfId="69" applyNumberFormat="1" applyFont="1" applyFill="1" applyBorder="1" applyAlignment="1" applyProtection="1">
      <alignment vertical="top"/>
      <protection/>
    </xf>
    <xf numFmtId="175" fontId="45" fillId="0" borderId="0" xfId="69" applyNumberFormat="1" applyFont="1" applyFill="1" applyBorder="1" applyAlignment="1" applyProtection="1">
      <alignment vertical="top"/>
      <protection/>
    </xf>
    <xf numFmtId="2" fontId="1" fillId="0" borderId="71" xfId="69" applyNumberFormat="1" applyFont="1" applyFill="1" applyBorder="1" applyAlignment="1" applyProtection="1">
      <alignment horizontal="right" vertical="justify"/>
      <protection/>
    </xf>
    <xf numFmtId="2" fontId="1" fillId="0" borderId="41" xfId="69" applyNumberFormat="1" applyFont="1" applyFill="1" applyBorder="1" applyAlignment="1" applyProtection="1">
      <alignment horizontal="right" vertical="justify"/>
      <protection/>
    </xf>
    <xf numFmtId="0" fontId="37" fillId="0" borderId="0" xfId="75" applyFont="1" applyBorder="1" applyAlignment="1">
      <alignment horizontal="center" vertical="center" wrapText="1"/>
      <protection/>
    </xf>
    <xf numFmtId="173" fontId="0" fillId="0" borderId="0" xfId="0" applyNumberFormat="1" applyFill="1" applyAlignment="1">
      <alignment/>
    </xf>
    <xf numFmtId="175" fontId="22" fillId="0" borderId="16" xfId="0" applyNumberFormat="1" applyFont="1" applyFill="1" applyBorder="1" applyAlignment="1">
      <alignment horizontal="right" vertical="center" wrapText="1"/>
    </xf>
    <xf numFmtId="175" fontId="22" fillId="0" borderId="8" xfId="0" applyNumberFormat="1" applyFont="1" applyFill="1" applyBorder="1" applyAlignment="1">
      <alignment horizontal="right" vertical="center" wrapText="1"/>
    </xf>
    <xf numFmtId="175" fontId="22" fillId="0" borderId="36" xfId="0" applyNumberFormat="1" applyFont="1" applyFill="1" applyBorder="1" applyAlignment="1">
      <alignment horizontal="right" vertical="center" wrapText="1"/>
    </xf>
    <xf numFmtId="175" fontId="22" fillId="0" borderId="17" xfId="0" applyNumberFormat="1" applyFont="1" applyFill="1" applyBorder="1" applyAlignment="1">
      <alignment horizontal="right" vertical="center" wrapText="1"/>
    </xf>
    <xf numFmtId="175" fontId="22" fillId="0" borderId="24" xfId="0" applyNumberFormat="1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right" vertical="center" wrapText="1"/>
    </xf>
    <xf numFmtId="10" fontId="21" fillId="0" borderId="36" xfId="0" applyNumberFormat="1" applyFont="1" applyFill="1" applyBorder="1" applyAlignment="1">
      <alignment horizontal="right" vertical="center" wrapText="1"/>
    </xf>
    <xf numFmtId="2" fontId="14" fillId="0" borderId="8" xfId="0" applyNumberFormat="1" applyFont="1" applyFill="1" applyBorder="1" applyAlignment="1">
      <alignment horizontal="right" vertical="center" wrapText="1"/>
    </xf>
    <xf numFmtId="2" fontId="21" fillId="0" borderId="36" xfId="0" applyNumberFormat="1" applyFont="1" applyFill="1" applyBorder="1" applyAlignment="1">
      <alignment horizontal="right" vertical="center" wrapText="1"/>
    </xf>
    <xf numFmtId="2" fontId="21" fillId="0" borderId="8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right" vertical="center" wrapText="1"/>
    </xf>
    <xf numFmtId="175" fontId="14" fillId="0" borderId="41" xfId="0" applyNumberFormat="1" applyFont="1" applyFill="1" applyBorder="1" applyAlignment="1">
      <alignment horizontal="right" vertical="center" wrapText="1"/>
    </xf>
    <xf numFmtId="175" fontId="14" fillId="0" borderId="36" xfId="0" applyNumberFormat="1" applyFont="1" applyFill="1" applyBorder="1" applyAlignment="1">
      <alignment horizontal="right" vertical="center" wrapText="1"/>
    </xf>
    <xf numFmtId="175" fontId="14" fillId="0" borderId="71" xfId="0" applyNumberFormat="1" applyFont="1" applyFill="1" applyBorder="1" applyAlignment="1">
      <alignment horizontal="right" vertical="center" wrapText="1"/>
    </xf>
    <xf numFmtId="175" fontId="22" fillId="0" borderId="19" xfId="0" applyNumberFormat="1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left" vertical="justify" wrapText="1"/>
    </xf>
    <xf numFmtId="175" fontId="14" fillId="0" borderId="29" xfId="0" applyNumberFormat="1" applyFont="1" applyFill="1" applyBorder="1" applyAlignment="1">
      <alignment horizontal="center" vertical="center" wrapText="1"/>
    </xf>
    <xf numFmtId="175" fontId="22" fillId="0" borderId="71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10" fontId="21" fillId="0" borderId="16" xfId="0" applyNumberFormat="1" applyFont="1" applyFill="1" applyBorder="1" applyAlignment="1">
      <alignment horizontal="right" vertical="center" wrapText="1"/>
    </xf>
    <xf numFmtId="10" fontId="21" fillId="0" borderId="17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right" vertical="center" wrapText="1"/>
    </xf>
    <xf numFmtId="175" fontId="22" fillId="0" borderId="29" xfId="0" applyNumberFormat="1" applyFont="1" applyFill="1" applyBorder="1" applyAlignment="1">
      <alignment horizontal="right" vertical="center" wrapText="1"/>
    </xf>
    <xf numFmtId="175" fontId="21" fillId="0" borderId="16" xfId="0" applyNumberFormat="1" applyFont="1" applyFill="1" applyBorder="1" applyAlignment="1">
      <alignment horizontal="right" vertical="center" wrapText="1"/>
    </xf>
    <xf numFmtId="175" fontId="14" fillId="0" borderId="8" xfId="0" applyNumberFormat="1" applyFont="1" applyFill="1" applyBorder="1" applyAlignment="1">
      <alignment horizontal="right" vertical="center" wrapText="1"/>
    </xf>
    <xf numFmtId="175" fontId="14" fillId="0" borderId="17" xfId="0" applyNumberFormat="1" applyFont="1" applyFill="1" applyBorder="1" applyAlignment="1">
      <alignment horizontal="right" vertical="center" wrapText="1"/>
    </xf>
    <xf numFmtId="175" fontId="22" fillId="0" borderId="18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2" fillId="0" borderId="36" xfId="0" applyFont="1" applyFill="1" applyBorder="1" applyAlignment="1">
      <alignment horizontal="right" vertical="justify" wrapText="1"/>
    </xf>
    <xf numFmtId="0" fontId="22" fillId="0" borderId="17" xfId="0" applyFont="1" applyFill="1" applyBorder="1" applyAlignment="1">
      <alignment horizontal="left" vertical="justify" wrapText="1"/>
    </xf>
    <xf numFmtId="2" fontId="1" fillId="0" borderId="33" xfId="0" applyNumberFormat="1" applyFont="1" applyBorder="1" applyAlignment="1">
      <alignment vertical="center" wrapText="1"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74" applyFont="1" applyAlignment="1">
      <alignment horizontal="right"/>
      <protection/>
    </xf>
    <xf numFmtId="0" fontId="69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39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indent="1"/>
    </xf>
    <xf numFmtId="0" fontId="3" fillId="39" borderId="8" xfId="0" applyFont="1" applyFill="1" applyBorder="1" applyAlignment="1">
      <alignment/>
    </xf>
    <xf numFmtId="0" fontId="3" fillId="39" borderId="8" xfId="0" applyFont="1" applyFill="1" applyBorder="1" applyAlignment="1">
      <alignment horizontal="center"/>
    </xf>
    <xf numFmtId="0" fontId="3" fillId="0" borderId="8" xfId="0" applyFont="1" applyBorder="1" applyAlignment="1">
      <alignment vertical="center"/>
    </xf>
    <xf numFmtId="17" fontId="3" fillId="0" borderId="8" xfId="0" applyNumberFormat="1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1" fillId="0" borderId="8" xfId="0" applyNumberFormat="1" applyFont="1" applyFill="1" applyBorder="1" applyAlignment="1">
      <alignment vertical="top" wrapText="1"/>
    </xf>
    <xf numFmtId="176" fontId="1" fillId="0" borderId="8" xfId="0" applyNumberFormat="1" applyFont="1" applyFill="1" applyBorder="1" applyAlignment="1">
      <alignment vertical="top" wrapText="1"/>
    </xf>
    <xf numFmtId="10" fontId="1" fillId="0" borderId="8" xfId="0" applyNumberFormat="1" applyFont="1" applyFill="1" applyBorder="1" applyAlignment="1">
      <alignment vertical="top" wrapText="1"/>
    </xf>
    <xf numFmtId="2" fontId="21" fillId="0" borderId="8" xfId="0" applyNumberFormat="1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center" wrapText="1"/>
    </xf>
    <xf numFmtId="174" fontId="14" fillId="0" borderId="8" xfId="0" applyNumberFormat="1" applyFont="1" applyFill="1" applyBorder="1" applyAlignment="1">
      <alignment horizontal="center" vertical="center" wrapText="1"/>
    </xf>
    <xf numFmtId="174" fontId="14" fillId="0" borderId="29" xfId="0" applyNumberFormat="1" applyFont="1" applyFill="1" applyBorder="1" applyAlignment="1">
      <alignment horizontal="center" vertical="center" wrapText="1"/>
    </xf>
    <xf numFmtId="172" fontId="14" fillId="0" borderId="8" xfId="0" applyNumberFormat="1" applyFont="1" applyFill="1" applyBorder="1" applyAlignment="1">
      <alignment horizontal="center" vertical="center" wrapText="1"/>
    </xf>
    <xf numFmtId="172" fontId="14" fillId="0" borderId="29" xfId="0" applyNumberFormat="1" applyFont="1" applyFill="1" applyBorder="1" applyAlignment="1">
      <alignment horizontal="center" vertical="center" wrapText="1"/>
    </xf>
    <xf numFmtId="172" fontId="14" fillId="0" borderId="19" xfId="0" applyNumberFormat="1" applyFont="1" applyFill="1" applyBorder="1" applyAlignment="1">
      <alignment horizontal="center" vertical="center" wrapText="1"/>
    </xf>
    <xf numFmtId="172" fontId="14" fillId="0" borderId="31" xfId="0" applyNumberFormat="1" applyFont="1" applyFill="1" applyBorder="1" applyAlignment="1">
      <alignment horizontal="center" vertical="center" wrapText="1"/>
    </xf>
    <xf numFmtId="175" fontId="14" fillId="0" borderId="8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top" wrapText="1"/>
    </xf>
    <xf numFmtId="175" fontId="14" fillId="0" borderId="8" xfId="0" applyNumberFormat="1" applyFont="1" applyFill="1" applyBorder="1" applyAlignment="1">
      <alignment vertical="top" wrapText="1"/>
    </xf>
    <xf numFmtId="175" fontId="0" fillId="0" borderId="24" xfId="0" applyNumberFormat="1" applyFill="1" applyBorder="1" applyAlignment="1">
      <alignment horizontal="center" vertical="center" wrapText="1"/>
    </xf>
    <xf numFmtId="175" fontId="0" fillId="0" borderId="67" xfId="0" applyNumberFormat="1" applyFill="1" applyBorder="1" applyAlignment="1">
      <alignment horizontal="center" vertical="center" wrapText="1"/>
    </xf>
    <xf numFmtId="175" fontId="22" fillId="0" borderId="63" xfId="0" applyNumberFormat="1" applyFont="1" applyFill="1" applyBorder="1" applyAlignment="1">
      <alignment horizontal="right" vertical="center" wrapText="1"/>
    </xf>
    <xf numFmtId="10" fontId="21" fillId="0" borderId="72" xfId="0" applyNumberFormat="1" applyFont="1" applyFill="1" applyBorder="1" applyAlignment="1">
      <alignment horizontal="right" vertical="center" wrapText="1"/>
    </xf>
    <xf numFmtId="175" fontId="14" fillId="0" borderId="72" xfId="0" applyNumberFormat="1" applyFont="1" applyFill="1" applyBorder="1" applyAlignment="1">
      <alignment horizontal="right" vertical="center" wrapText="1"/>
    </xf>
    <xf numFmtId="10" fontId="21" fillId="0" borderId="71" xfId="0" applyNumberFormat="1" applyFont="1" applyFill="1" applyBorder="1" applyAlignment="1">
      <alignment horizontal="right" vertical="center" wrapText="1"/>
    </xf>
    <xf numFmtId="2" fontId="51" fillId="0" borderId="16" xfId="68" applyNumberFormat="1" applyFont="1" applyFill="1" applyBorder="1" applyAlignment="1" applyProtection="1">
      <alignment horizontal="center" vertical="top"/>
      <protection/>
    </xf>
    <xf numFmtId="2" fontId="51" fillId="0" borderId="13" xfId="68" applyNumberFormat="1" applyFont="1" applyFill="1" applyBorder="1" applyAlignment="1" applyProtection="1">
      <alignment horizontal="center" vertical="top"/>
      <protection/>
    </xf>
    <xf numFmtId="0" fontId="70" fillId="0" borderId="0" xfId="0" applyFont="1" applyAlignment="1">
      <alignment/>
    </xf>
    <xf numFmtId="2" fontId="15" fillId="0" borderId="0" xfId="68" applyNumberFormat="1" applyFont="1" applyFill="1" applyBorder="1" applyAlignment="1" applyProtection="1">
      <alignment vertical="top"/>
      <protection/>
    </xf>
    <xf numFmtId="175" fontId="71" fillId="0" borderId="16" xfId="0" applyNumberFormat="1" applyFont="1" applyFill="1" applyBorder="1" applyAlignment="1">
      <alignment horizontal="right" vertical="center" wrapText="1"/>
    </xf>
    <xf numFmtId="175" fontId="26" fillId="0" borderId="1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175" fontId="26" fillId="0" borderId="16" xfId="0" applyNumberFormat="1" applyFont="1" applyFill="1" applyBorder="1" applyAlignment="1">
      <alignment horizontal="center" vertical="center" wrapText="1"/>
    </xf>
    <xf numFmtId="175" fontId="14" fillId="0" borderId="16" xfId="0" applyNumberFormat="1" applyFont="1" applyFill="1" applyBorder="1" applyAlignment="1">
      <alignment horizontal="centerContinuous" vertical="center" wrapText="1"/>
    </xf>
    <xf numFmtId="172" fontId="14" fillId="0" borderId="16" xfId="0" applyNumberFormat="1" applyFont="1" applyFill="1" applyBorder="1" applyAlignment="1">
      <alignment horizontal="centerContinuous" vertical="center" wrapText="1"/>
    </xf>
    <xf numFmtId="172" fontId="14" fillId="0" borderId="18" xfId="0" applyNumberFormat="1" applyFont="1" applyFill="1" applyBorder="1" applyAlignment="1">
      <alignment horizontal="centerContinuous" vertical="center" wrapText="1"/>
    </xf>
    <xf numFmtId="0" fontId="14" fillId="0" borderId="16" xfId="0" applyFont="1" applyFill="1" applyBorder="1" applyAlignment="1">
      <alignment horizontal="centerContinuous" vertical="center" wrapText="1"/>
    </xf>
    <xf numFmtId="0" fontId="5" fillId="0" borderId="77" xfId="68" applyNumberFormat="1" applyFont="1" applyFill="1" applyBorder="1" applyAlignment="1" applyProtection="1">
      <alignment vertical="top"/>
      <protection/>
    </xf>
    <xf numFmtId="174" fontId="5" fillId="0" borderId="77" xfId="68" applyNumberFormat="1" applyFont="1" applyFill="1" applyBorder="1" applyAlignment="1" applyProtection="1">
      <alignment vertical="top"/>
      <protection/>
    </xf>
    <xf numFmtId="174" fontId="5" fillId="0" borderId="66" xfId="68" applyNumberFormat="1" applyFont="1" applyFill="1" applyBorder="1" applyAlignment="1" applyProtection="1">
      <alignment vertical="top"/>
      <protection/>
    </xf>
    <xf numFmtId="175" fontId="26" fillId="0" borderId="42" xfId="0" applyNumberFormat="1" applyFont="1" applyFill="1" applyBorder="1" applyAlignment="1">
      <alignment vertical="top" wrapText="1"/>
    </xf>
    <xf numFmtId="175" fontId="26" fillId="0" borderId="39" xfId="0" applyNumberFormat="1" applyFont="1" applyFill="1" applyBorder="1" applyAlignment="1">
      <alignment vertical="top" wrapText="1"/>
    </xf>
    <xf numFmtId="0" fontId="24" fillId="31" borderId="8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45" fillId="0" borderId="48" xfId="0" applyFont="1" applyBorder="1" applyAlignment="1">
      <alignment vertical="center" wrapText="1"/>
    </xf>
    <xf numFmtId="2" fontId="49" fillId="0" borderId="23" xfId="0" applyNumberFormat="1" applyFont="1" applyFill="1" applyBorder="1" applyAlignment="1">
      <alignment horizontal="center" vertical="center" wrapText="1"/>
    </xf>
    <xf numFmtId="2" fontId="49" fillId="0" borderId="63" xfId="0" applyNumberFormat="1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2" fontId="21" fillId="0" borderId="0" xfId="0" applyNumberFormat="1" applyFont="1" applyFill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1" fillId="0" borderId="16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10" fontId="0" fillId="0" borderId="0" xfId="0" applyNumberFormat="1" applyBorder="1" applyAlignment="1">
      <alignment/>
    </xf>
    <xf numFmtId="10" fontId="43" fillId="0" borderId="29" xfId="73" applyNumberFormat="1" applyFont="1" applyFill="1" applyBorder="1" applyAlignment="1">
      <alignment horizontal="center" vertical="center"/>
      <protection/>
    </xf>
    <xf numFmtId="2" fontId="43" fillId="0" borderId="41" xfId="69" applyNumberFormat="1" applyFont="1" applyFill="1" applyBorder="1" applyAlignment="1" applyProtection="1">
      <alignment horizontal="center" vertical="center"/>
      <protection/>
    </xf>
    <xf numFmtId="175" fontId="1" fillId="0" borderId="33" xfId="69" applyNumberFormat="1" applyFont="1" applyFill="1" applyBorder="1" applyAlignment="1" applyProtection="1">
      <alignment horizontal="center" vertical="center"/>
      <protection/>
    </xf>
    <xf numFmtId="174" fontId="1" fillId="0" borderId="33" xfId="69" applyNumberFormat="1" applyFont="1" applyFill="1" applyBorder="1" applyAlignment="1" applyProtection="1">
      <alignment horizontal="center" vertical="center"/>
      <protection/>
    </xf>
    <xf numFmtId="175" fontId="1" fillId="0" borderId="41" xfId="69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ill="1" applyAlignment="1">
      <alignment/>
    </xf>
    <xf numFmtId="2" fontId="63" fillId="0" borderId="0" xfId="0" applyNumberFormat="1" applyFont="1" applyFill="1" applyBorder="1" applyAlignment="1">
      <alignment vertical="top" wrapText="1"/>
    </xf>
    <xf numFmtId="2" fontId="45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33" xfId="0" applyNumberFormat="1" applyFont="1" applyFill="1" applyBorder="1" applyAlignment="1">
      <alignment vertical="top" wrapText="1"/>
    </xf>
    <xf numFmtId="4" fontId="45" fillId="0" borderId="33" xfId="0" applyNumberFormat="1" applyFont="1" applyFill="1" applyBorder="1" applyAlignment="1">
      <alignment vertical="top" wrapText="1"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0" fontId="0" fillId="0" borderId="40" xfId="0" applyBorder="1" applyAlignment="1">
      <alignment/>
    </xf>
    <xf numFmtId="17" fontId="0" fillId="38" borderId="50" xfId="0" applyNumberFormat="1" applyFill="1" applyBorder="1" applyAlignment="1">
      <alignment/>
    </xf>
    <xf numFmtId="2" fontId="0" fillId="38" borderId="77" xfId="0" applyNumberFormat="1" applyFill="1" applyBorder="1" applyAlignment="1">
      <alignment/>
    </xf>
    <xf numFmtId="17" fontId="0" fillId="0" borderId="50" xfId="0" applyNumberFormat="1" applyBorder="1" applyAlignment="1">
      <alignment/>
    </xf>
    <xf numFmtId="2" fontId="0" fillId="0" borderId="77" xfId="0" applyNumberFormat="1" applyBorder="1" applyAlignment="1">
      <alignment/>
    </xf>
    <xf numFmtId="0" fontId="0" fillId="0" borderId="50" xfId="0" applyBorder="1" applyAlignment="1">
      <alignment horizontal="right"/>
    </xf>
    <xf numFmtId="0" fontId="0" fillId="0" borderId="50" xfId="0" applyBorder="1" applyAlignment="1">
      <alignment/>
    </xf>
    <xf numFmtId="0" fontId="0" fillId="0" borderId="77" xfId="0" applyBorder="1" applyAlignment="1">
      <alignment/>
    </xf>
    <xf numFmtId="0" fontId="0" fillId="0" borderId="63" xfId="0" applyBorder="1" applyAlignment="1">
      <alignment/>
    </xf>
    <xf numFmtId="1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66" xfId="0" applyBorder="1" applyAlignment="1">
      <alignment/>
    </xf>
    <xf numFmtId="0" fontId="17" fillId="0" borderId="15" xfId="68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NumberFormat="1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174" fontId="5" fillId="31" borderId="78" xfId="68" applyNumberFormat="1" applyFont="1" applyFill="1" applyBorder="1" applyAlignment="1" applyProtection="1">
      <alignment horizontal="center" vertical="center"/>
      <protection/>
    </xf>
    <xf numFmtId="2" fontId="45" fillId="0" borderId="78" xfId="68" applyNumberFormat="1" applyFont="1" applyFill="1" applyBorder="1" applyAlignment="1" applyProtection="1">
      <alignment horizontal="center" vertical="center"/>
      <protection/>
    </xf>
    <xf numFmtId="2" fontId="45" fillId="0" borderId="23" xfId="6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4" fontId="1" fillId="0" borderId="46" xfId="0" applyNumberFormat="1" applyFont="1" applyFill="1" applyBorder="1" applyAlignment="1">
      <alignment vertical="top" wrapText="1"/>
    </xf>
    <xf numFmtId="2" fontId="15" fillId="0" borderId="8" xfId="0" applyNumberFormat="1" applyFont="1" applyFill="1" applyBorder="1" applyAlignment="1">
      <alignment vertical="top" wrapText="1"/>
    </xf>
    <xf numFmtId="173" fontId="0" fillId="31" borderId="77" xfId="0" applyNumberFormat="1" applyFill="1" applyBorder="1" applyAlignment="1">
      <alignment/>
    </xf>
    <xf numFmtId="4" fontId="15" fillId="0" borderId="33" xfId="0" applyNumberFormat="1" applyFont="1" applyFill="1" applyBorder="1" applyAlignment="1">
      <alignment vertical="top" wrapText="1"/>
    </xf>
    <xf numFmtId="4" fontId="74" fillId="0" borderId="33" xfId="0" applyNumberFormat="1" applyFont="1" applyFill="1" applyBorder="1" applyAlignment="1">
      <alignment vertical="top" wrapText="1"/>
    </xf>
    <xf numFmtId="4" fontId="43" fillId="0" borderId="33" xfId="0" applyNumberFormat="1" applyFont="1" applyFill="1" applyBorder="1" applyAlignment="1">
      <alignment vertical="top" wrapText="1"/>
    </xf>
    <xf numFmtId="175" fontId="21" fillId="0" borderId="16" xfId="0" applyNumberFormat="1" applyFont="1" applyFill="1" applyBorder="1" applyAlignment="1">
      <alignment horizontal="centerContinuous" vertical="center" wrapText="1"/>
    </xf>
    <xf numFmtId="2" fontId="45" fillId="0" borderId="16" xfId="68" applyNumberFormat="1" applyFont="1" applyFill="1" applyBorder="1" applyAlignment="1" applyProtection="1">
      <alignment horizontal="center" vertical="center"/>
      <protection/>
    </xf>
    <xf numFmtId="2" fontId="45" fillId="0" borderId="29" xfId="68" applyNumberFormat="1" applyFont="1" applyFill="1" applyBorder="1" applyAlignment="1" applyProtection="1">
      <alignment horizontal="center" vertical="center"/>
      <protection/>
    </xf>
    <xf numFmtId="2" fontId="1" fillId="0" borderId="16" xfId="68" applyNumberFormat="1" applyFont="1" applyFill="1" applyBorder="1" applyAlignment="1" applyProtection="1">
      <alignment horizontal="center" vertical="top"/>
      <protection/>
    </xf>
    <xf numFmtId="2" fontId="1" fillId="0" borderId="29" xfId="68" applyNumberFormat="1" applyFont="1" applyFill="1" applyBorder="1" applyAlignment="1" applyProtection="1">
      <alignment horizontal="center" vertical="top"/>
      <protection/>
    </xf>
    <xf numFmtId="2" fontId="1" fillId="0" borderId="36" xfId="68" applyNumberFormat="1" applyFont="1" applyFill="1" applyBorder="1" applyAlignment="1" applyProtection="1">
      <alignment horizontal="center" vertical="center"/>
      <protection/>
    </xf>
    <xf numFmtId="4" fontId="1" fillId="0" borderId="16" xfId="68" applyNumberFormat="1" applyFont="1" applyFill="1" applyBorder="1" applyAlignment="1" applyProtection="1">
      <alignment horizontal="center" vertical="center"/>
      <protection/>
    </xf>
    <xf numFmtId="0" fontId="1" fillId="0" borderId="72" xfId="68" applyNumberFormat="1" applyFont="1" applyFill="1" applyBorder="1" applyAlignment="1" applyProtection="1">
      <alignment horizontal="center" vertical="center"/>
      <protection/>
    </xf>
    <xf numFmtId="175" fontId="1" fillId="0" borderId="16" xfId="68" applyNumberFormat="1" applyFont="1" applyFill="1" applyBorder="1" applyAlignment="1" applyProtection="1">
      <alignment horizontal="center" vertical="center"/>
      <protection/>
    </xf>
    <xf numFmtId="175" fontId="1" fillId="0" borderId="36" xfId="68" applyNumberFormat="1" applyFont="1" applyFill="1" applyBorder="1" applyAlignment="1" applyProtection="1">
      <alignment horizontal="center" vertical="center"/>
      <protection/>
    </xf>
    <xf numFmtId="0" fontId="1" fillId="0" borderId="60" xfId="69" applyNumberFormat="1" applyFont="1" applyFill="1" applyBorder="1" applyAlignment="1" applyProtection="1">
      <alignment horizontal="center" vertical="center"/>
      <protection/>
    </xf>
    <xf numFmtId="0" fontId="1" fillId="0" borderId="32" xfId="69" applyNumberFormat="1" applyFont="1" applyFill="1" applyBorder="1" applyAlignment="1" applyProtection="1">
      <alignment horizontal="center" vertical="center"/>
      <protection/>
    </xf>
    <xf numFmtId="175" fontId="1" fillId="0" borderId="47" xfId="69" applyNumberFormat="1" applyFont="1" applyFill="1" applyBorder="1" applyAlignment="1" applyProtection="1">
      <alignment horizontal="center" vertical="center"/>
      <protection/>
    </xf>
    <xf numFmtId="177" fontId="1" fillId="0" borderId="33" xfId="69" applyNumberFormat="1" applyFont="1" applyFill="1" applyBorder="1" applyAlignment="1" applyProtection="1">
      <alignment horizontal="center" vertical="center"/>
      <protection/>
    </xf>
    <xf numFmtId="175" fontId="1" fillId="0" borderId="46" xfId="69" applyNumberFormat="1" applyFont="1" applyFill="1" applyBorder="1" applyAlignment="1" applyProtection="1">
      <alignment horizontal="center" vertical="center"/>
      <protection/>
    </xf>
    <xf numFmtId="0" fontId="3" fillId="0" borderId="38" xfId="69" applyNumberFormat="1" applyFont="1" applyFill="1" applyBorder="1" applyAlignment="1" applyProtection="1">
      <alignment horizontal="center" vertical="center" wrapText="1"/>
      <protection/>
    </xf>
    <xf numFmtId="0" fontId="3" fillId="0" borderId="51" xfId="69" applyNumberFormat="1" applyFont="1" applyFill="1" applyBorder="1" applyAlignment="1" applyProtection="1">
      <alignment horizontal="center" vertical="center" wrapText="1"/>
      <protection/>
    </xf>
    <xf numFmtId="2" fontId="43" fillId="0" borderId="63" xfId="73" applyNumberFormat="1" applyFont="1" applyFill="1" applyBorder="1" applyAlignment="1">
      <alignment horizontal="center" vertical="center"/>
      <protection/>
    </xf>
    <xf numFmtId="2" fontId="1" fillId="0" borderId="17" xfId="0" applyNumberFormat="1" applyFont="1" applyFill="1" applyBorder="1" applyAlignment="1">
      <alignment vertical="top" wrapText="1"/>
    </xf>
    <xf numFmtId="175" fontId="21" fillId="0" borderId="19" xfId="0" applyNumberFormat="1" applyFont="1" applyFill="1" applyBorder="1" applyAlignment="1">
      <alignment vertical="top" wrapText="1"/>
    </xf>
    <xf numFmtId="175" fontId="21" fillId="0" borderId="20" xfId="0" applyNumberFormat="1" applyFont="1" applyFill="1" applyBorder="1" applyAlignment="1">
      <alignment vertical="top" wrapText="1"/>
    </xf>
    <xf numFmtId="175" fontId="21" fillId="0" borderId="18" xfId="0" applyNumberFormat="1" applyFont="1" applyFill="1" applyBorder="1" applyAlignment="1">
      <alignment vertical="top" wrapText="1"/>
    </xf>
    <xf numFmtId="174" fontId="21" fillId="0" borderId="20" xfId="0" applyNumberFormat="1" applyFont="1" applyFill="1" applyBorder="1" applyAlignment="1">
      <alignment vertical="top" wrapText="1"/>
    </xf>
    <xf numFmtId="175" fontId="14" fillId="0" borderId="16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left" vertical="justify" wrapText="1"/>
    </xf>
    <xf numFmtId="0" fontId="14" fillId="0" borderId="17" xfId="0" applyFont="1" applyFill="1" applyBorder="1" applyAlignment="1">
      <alignment horizontal="left" vertical="justify" wrapText="1"/>
    </xf>
    <xf numFmtId="175" fontId="14" fillId="0" borderId="17" xfId="0" applyNumberFormat="1" applyFont="1" applyFill="1" applyBorder="1" applyAlignment="1">
      <alignment horizontal="right" vertical="center" wrapText="1"/>
    </xf>
    <xf numFmtId="175" fontId="14" fillId="0" borderId="16" xfId="0" applyNumberFormat="1" applyFont="1" applyFill="1" applyBorder="1" applyAlignment="1">
      <alignment horizontal="right" vertical="center" wrapText="1"/>
    </xf>
    <xf numFmtId="175" fontId="14" fillId="0" borderId="29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justify" wrapText="1"/>
    </xf>
    <xf numFmtId="175" fontId="14" fillId="0" borderId="36" xfId="0" applyNumberFormat="1" applyFont="1" applyFill="1" applyBorder="1" applyAlignment="1">
      <alignment horizontal="right" vertical="center" wrapText="1"/>
    </xf>
    <xf numFmtId="175" fontId="14" fillId="0" borderId="29" xfId="0" applyNumberFormat="1" applyFont="1" applyFill="1" applyBorder="1" applyAlignment="1">
      <alignment horizontal="right" vertical="center" wrapText="1"/>
    </xf>
    <xf numFmtId="177" fontId="14" fillId="0" borderId="36" xfId="0" applyNumberFormat="1" applyFont="1" applyFill="1" applyBorder="1" applyAlignment="1">
      <alignment horizontal="right" vertical="center" wrapText="1"/>
    </xf>
    <xf numFmtId="177" fontId="14" fillId="0" borderId="8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2" fontId="21" fillId="0" borderId="36" xfId="0" applyNumberFormat="1" applyFont="1" applyFill="1" applyBorder="1" applyAlignment="1">
      <alignment horizontal="right" vertical="center" wrapText="1"/>
    </xf>
    <xf numFmtId="2" fontId="14" fillId="0" borderId="36" xfId="0" applyNumberFormat="1" applyFont="1" applyFill="1" applyBorder="1" applyAlignment="1">
      <alignment horizontal="right" vertical="center" wrapText="1"/>
    </xf>
    <xf numFmtId="2" fontId="14" fillId="0" borderId="8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horizontal="right" vertical="center" wrapText="1"/>
    </xf>
    <xf numFmtId="175" fontId="14" fillId="0" borderId="72" xfId="0" applyNumberFormat="1" applyFont="1" applyFill="1" applyBorder="1" applyAlignment="1">
      <alignment horizontal="right" vertical="center" wrapText="1"/>
    </xf>
    <xf numFmtId="175" fontId="14" fillId="0" borderId="71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left" vertical="justify" wrapText="1"/>
    </xf>
    <xf numFmtId="2" fontId="14" fillId="0" borderId="36" xfId="0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left" vertical="justify" wrapText="1"/>
    </xf>
    <xf numFmtId="2" fontId="14" fillId="0" borderId="72" xfId="0" applyNumberFormat="1" applyFont="1" applyFill="1" applyBorder="1" applyAlignment="1">
      <alignment horizontal="right" vertical="center" wrapText="1"/>
    </xf>
    <xf numFmtId="2" fontId="14" fillId="0" borderId="40" xfId="0" applyNumberFormat="1" applyFont="1" applyFill="1" applyBorder="1" applyAlignment="1">
      <alignment horizontal="right" vertical="center" wrapText="1"/>
    </xf>
    <xf numFmtId="2" fontId="14" fillId="0" borderId="29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justify" wrapText="1"/>
    </xf>
    <xf numFmtId="0" fontId="14" fillId="0" borderId="20" xfId="0" applyFont="1" applyBorder="1" applyAlignment="1">
      <alignment horizontal="left" vertical="justify" wrapText="1"/>
    </xf>
    <xf numFmtId="2" fontId="14" fillId="0" borderId="64" xfId="0" applyNumberFormat="1" applyFont="1" applyFill="1" applyBorder="1" applyAlignment="1">
      <alignment horizontal="right" vertical="center" wrapText="1"/>
    </xf>
    <xf numFmtId="2" fontId="24" fillId="0" borderId="19" xfId="0" applyNumberFormat="1" applyFont="1" applyBorder="1" applyAlignment="1">
      <alignment horizontal="right" vertical="center"/>
    </xf>
    <xf numFmtId="2" fontId="14" fillId="0" borderId="19" xfId="0" applyNumberFormat="1" applyFont="1" applyFill="1" applyBorder="1" applyAlignment="1">
      <alignment horizontal="right" vertical="center" wrapText="1"/>
    </xf>
    <xf numFmtId="2" fontId="14" fillId="0" borderId="19" xfId="0" applyNumberFormat="1" applyFont="1" applyFill="1" applyBorder="1" applyAlignment="1">
      <alignment horizontal="right" vertical="center" wrapText="1"/>
    </xf>
    <xf numFmtId="2" fontId="14" fillId="0" borderId="20" xfId="0" applyNumberFormat="1" applyFont="1" applyFill="1" applyBorder="1" applyAlignment="1">
      <alignment horizontal="right" vertical="center" wrapText="1"/>
    </xf>
    <xf numFmtId="175" fontId="14" fillId="0" borderId="18" xfId="0" applyNumberFormat="1" applyFont="1" applyFill="1" applyBorder="1" applyAlignment="1">
      <alignment horizontal="right" vertical="center" wrapText="1"/>
    </xf>
    <xf numFmtId="175" fontId="14" fillId="0" borderId="64" xfId="0" applyNumberFormat="1" applyFont="1" applyFill="1" applyBorder="1" applyAlignment="1">
      <alignment horizontal="right" vertical="center" wrapText="1"/>
    </xf>
    <xf numFmtId="175" fontId="14" fillId="0" borderId="19" xfId="0" applyNumberFormat="1" applyFont="1" applyFill="1" applyBorder="1" applyAlignment="1">
      <alignment horizontal="right" vertical="center" wrapText="1"/>
    </xf>
    <xf numFmtId="2" fontId="14" fillId="0" borderId="31" xfId="0" applyNumberFormat="1" applyFont="1" applyFill="1" applyBorder="1" applyAlignment="1">
      <alignment horizontal="right" vertical="center" wrapText="1"/>
    </xf>
    <xf numFmtId="175" fontId="1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left" vertical="justify"/>
    </xf>
    <xf numFmtId="175" fontId="24" fillId="0" borderId="0" xfId="0" applyNumberFormat="1" applyFont="1" applyFill="1" applyBorder="1" applyAlignment="1">
      <alignment horizontal="left" vertical="justify"/>
    </xf>
    <xf numFmtId="174" fontId="24" fillId="0" borderId="0" xfId="0" applyNumberFormat="1" applyFont="1" applyFill="1" applyBorder="1" applyAlignment="1">
      <alignment horizontal="left" vertical="justify"/>
    </xf>
    <xf numFmtId="0" fontId="21" fillId="0" borderId="80" xfId="0" applyFont="1" applyFill="1" applyBorder="1" applyAlignment="1">
      <alignment horizontal="left" vertical="justify" wrapText="1"/>
    </xf>
    <xf numFmtId="0" fontId="14" fillId="0" borderId="81" xfId="0" applyFont="1" applyFill="1" applyBorder="1" applyAlignment="1">
      <alignment horizontal="left" vertical="justify" wrapText="1"/>
    </xf>
    <xf numFmtId="0" fontId="14" fillId="0" borderId="82" xfId="0" applyFont="1" applyFill="1" applyBorder="1" applyAlignment="1">
      <alignment horizontal="left" vertical="justify" wrapText="1"/>
    </xf>
    <xf numFmtId="0" fontId="76" fillId="0" borderId="16" xfId="0" applyFont="1" applyFill="1" applyBorder="1" applyAlignment="1">
      <alignment horizontal="left" vertical="justify" wrapText="1"/>
    </xf>
    <xf numFmtId="174" fontId="21" fillId="0" borderId="16" xfId="0" applyNumberFormat="1" applyFont="1" applyFill="1" applyBorder="1" applyAlignment="1">
      <alignment horizontal="right" vertical="center" wrapText="1"/>
    </xf>
    <xf numFmtId="2" fontId="14" fillId="0" borderId="16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/>
    </xf>
    <xf numFmtId="175" fontId="0" fillId="0" borderId="57" xfId="0" applyNumberFormat="1" applyFont="1" applyBorder="1" applyAlignment="1">
      <alignment horizontal="right" vertical="center"/>
    </xf>
    <xf numFmtId="0" fontId="14" fillId="0" borderId="29" xfId="0" applyFont="1" applyFill="1" applyBorder="1" applyAlignment="1">
      <alignment horizontal="left" vertical="justify" wrapText="1"/>
    </xf>
    <xf numFmtId="0" fontId="14" fillId="0" borderId="17" xfId="0" applyFont="1" applyFill="1" applyBorder="1" applyAlignment="1">
      <alignment horizontal="right" vertical="center" wrapText="1"/>
    </xf>
    <xf numFmtId="2" fontId="21" fillId="0" borderId="16" xfId="0" applyNumberFormat="1" applyFont="1" applyFill="1" applyBorder="1" applyAlignment="1">
      <alignment horizontal="right" vertical="center" wrapText="1"/>
    </xf>
    <xf numFmtId="175" fontId="14" fillId="0" borderId="27" xfId="0" applyNumberFormat="1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174" fontId="14" fillId="0" borderId="27" xfId="0" applyNumberFormat="1" applyFont="1" applyFill="1" applyBorder="1" applyAlignment="1">
      <alignment horizontal="right" vertical="center" wrapText="1"/>
    </xf>
    <xf numFmtId="174" fontId="14" fillId="0" borderId="17" xfId="0" applyNumberFormat="1" applyFont="1" applyFill="1" applyBorder="1" applyAlignment="1">
      <alignment horizontal="right" vertical="center" wrapText="1"/>
    </xf>
    <xf numFmtId="174" fontId="14" fillId="0" borderId="8" xfId="0" applyNumberFormat="1" applyFont="1" applyFill="1" applyBorder="1" applyAlignment="1">
      <alignment horizontal="right" vertical="center" wrapText="1"/>
    </xf>
    <xf numFmtId="174" fontId="14" fillId="0" borderId="71" xfId="0" applyNumberFormat="1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left" vertical="center" wrapText="1"/>
    </xf>
    <xf numFmtId="172" fontId="14" fillId="0" borderId="8" xfId="0" applyNumberFormat="1" applyFont="1" applyFill="1" applyBorder="1" applyAlignment="1">
      <alignment vertical="top" wrapText="1"/>
    </xf>
    <xf numFmtId="0" fontId="62" fillId="0" borderId="0" xfId="0" applyFont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right" vertical="center" wrapText="1"/>
    </xf>
    <xf numFmtId="10" fontId="14" fillId="0" borderId="17" xfId="0" applyNumberFormat="1" applyFont="1" applyFill="1" applyBorder="1" applyAlignment="1">
      <alignment horizontal="right" vertical="center" wrapText="1"/>
    </xf>
    <xf numFmtId="175" fontId="79" fillId="0" borderId="36" xfId="0" applyNumberFormat="1" applyFont="1" applyFill="1" applyBorder="1" applyAlignment="1">
      <alignment horizontal="right" vertical="center" wrapText="1"/>
    </xf>
    <xf numFmtId="2" fontId="0" fillId="0" borderId="57" xfId="0" applyNumberFormat="1" applyFont="1" applyBorder="1" applyAlignment="1">
      <alignment horizontal="right" vertical="center"/>
    </xf>
    <xf numFmtId="0" fontId="24" fillId="38" borderId="8" xfId="0" applyFont="1" applyFill="1" applyBorder="1" applyAlignment="1">
      <alignment/>
    </xf>
    <xf numFmtId="0" fontId="49" fillId="0" borderId="27" xfId="0" applyFont="1" applyBorder="1" applyAlignment="1">
      <alignment/>
    </xf>
    <xf numFmtId="0" fontId="49" fillId="40" borderId="27" xfId="0" applyFont="1" applyFill="1" applyBorder="1" applyAlignment="1">
      <alignment/>
    </xf>
    <xf numFmtId="175" fontId="0" fillId="0" borderId="8" xfId="0" applyNumberFormat="1" applyBorder="1" applyAlignment="1">
      <alignment/>
    </xf>
    <xf numFmtId="172" fontId="73" fillId="0" borderId="16" xfId="0" applyNumberFormat="1" applyFont="1" applyBorder="1" applyAlignment="1">
      <alignment vertical="center"/>
    </xf>
    <xf numFmtId="0" fontId="73" fillId="0" borderId="17" xfId="0" applyFont="1" applyBorder="1" applyAlignment="1">
      <alignment/>
    </xf>
    <xf numFmtId="0" fontId="7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49" fillId="0" borderId="20" xfId="0" applyFont="1" applyBorder="1" applyAlignment="1">
      <alignment/>
    </xf>
    <xf numFmtId="0" fontId="51" fillId="0" borderId="60" xfId="68" applyNumberFormat="1" applyFont="1" applyFill="1" applyBorder="1" applyAlignment="1" applyProtection="1">
      <alignment horizontal="center" vertical="center" wrapText="1"/>
      <protection/>
    </xf>
    <xf numFmtId="0" fontId="17" fillId="0" borderId="60" xfId="68" applyNumberFormat="1" applyFont="1" applyFill="1" applyBorder="1" applyAlignment="1" applyProtection="1">
      <alignment horizontal="center" vertical="center"/>
      <protection/>
    </xf>
    <xf numFmtId="0" fontId="17" fillId="0" borderId="72" xfId="68" applyNumberFormat="1" applyFont="1" applyFill="1" applyBorder="1" applyAlignment="1" applyProtection="1">
      <alignment horizontal="center" vertical="center"/>
      <protection/>
    </xf>
    <xf numFmtId="2" fontId="17" fillId="0" borderId="72" xfId="68" applyNumberFormat="1" applyFont="1" applyFill="1" applyBorder="1" applyAlignment="1" applyProtection="1">
      <alignment horizontal="center" vertical="top"/>
      <protection/>
    </xf>
    <xf numFmtId="2" fontId="5" fillId="0" borderId="72" xfId="68" applyNumberFormat="1" applyFont="1" applyFill="1" applyBorder="1" applyAlignment="1" applyProtection="1">
      <alignment horizontal="center" vertical="center"/>
      <protection/>
    </xf>
    <xf numFmtId="2" fontId="17" fillId="0" borderId="72" xfId="68" applyNumberFormat="1" applyFont="1" applyFill="1" applyBorder="1" applyAlignment="1" applyProtection="1">
      <alignment horizontal="center" vertical="center"/>
      <protection/>
    </xf>
    <xf numFmtId="174" fontId="17" fillId="0" borderId="83" xfId="68" applyNumberFormat="1" applyFont="1" applyFill="1" applyBorder="1" applyAlignment="1" applyProtection="1">
      <alignment horizontal="center" vertical="center"/>
      <protection/>
    </xf>
    <xf numFmtId="2" fontId="17" fillId="0" borderId="84" xfId="68" applyNumberFormat="1" applyFont="1" applyFill="1" applyBorder="1" applyAlignment="1" applyProtection="1">
      <alignment horizontal="center" vertical="center"/>
      <protection/>
    </xf>
    <xf numFmtId="2" fontId="17" fillId="0" borderId="72" xfId="68" applyNumberFormat="1" applyFont="1" applyFill="1" applyBorder="1" applyAlignment="1" applyProtection="1">
      <alignment vertical="top"/>
      <protection/>
    </xf>
    <xf numFmtId="2" fontId="17" fillId="0" borderId="83" xfId="68" applyNumberFormat="1" applyFont="1" applyFill="1" applyBorder="1" applyAlignment="1" applyProtection="1">
      <alignment horizontal="center" vertical="center"/>
      <protection/>
    </xf>
    <xf numFmtId="174" fontId="1" fillId="0" borderId="79" xfId="68" applyNumberFormat="1" applyFont="1" applyFill="1" applyBorder="1" applyAlignment="1" applyProtection="1">
      <alignment horizontal="center" vertical="center"/>
      <protection/>
    </xf>
    <xf numFmtId="174" fontId="5" fillId="37" borderId="0" xfId="68" applyNumberFormat="1" applyFont="1" applyFill="1" applyBorder="1" applyAlignment="1" applyProtection="1">
      <alignment horizontal="center" vertical="center"/>
      <protection/>
    </xf>
    <xf numFmtId="2" fontId="45" fillId="0" borderId="0" xfId="68" applyNumberFormat="1" applyFont="1" applyFill="1" applyBorder="1" applyAlignment="1" applyProtection="1">
      <alignment horizontal="center" vertical="center"/>
      <protection/>
    </xf>
    <xf numFmtId="2" fontId="1" fillId="0" borderId="0" xfId="68" applyNumberFormat="1" applyFont="1" applyFill="1" applyBorder="1" applyAlignment="1" applyProtection="1">
      <alignment horizontal="center" vertical="center"/>
      <protection/>
    </xf>
    <xf numFmtId="2" fontId="1" fillId="0" borderId="44" xfId="68" applyNumberFormat="1" applyFont="1" applyFill="1" applyBorder="1" applyAlignment="1" applyProtection="1">
      <alignment horizontal="center" vertical="center"/>
      <protection/>
    </xf>
    <xf numFmtId="2" fontId="1" fillId="0" borderId="79" xfId="68" applyNumberFormat="1" applyFont="1" applyFill="1" applyBorder="1" applyAlignment="1" applyProtection="1">
      <alignment horizontal="center" vertical="center"/>
      <protection/>
    </xf>
    <xf numFmtId="2" fontId="45" fillId="0" borderId="44" xfId="68" applyNumberFormat="1" applyFont="1" applyFill="1" applyBorder="1" applyAlignment="1" applyProtection="1">
      <alignment horizontal="center" vertical="center"/>
      <protection/>
    </xf>
    <xf numFmtId="4" fontId="51" fillId="0" borderId="84" xfId="68" applyNumberFormat="1" applyFont="1" applyFill="1" applyBorder="1" applyAlignment="1" applyProtection="1">
      <alignment horizontal="center" vertical="center"/>
      <protection/>
    </xf>
    <xf numFmtId="0" fontId="51" fillId="0" borderId="72" xfId="68" applyNumberFormat="1" applyFont="1" applyFill="1" applyBorder="1" applyAlignment="1" applyProtection="1">
      <alignment horizontal="center" vertical="center"/>
      <protection/>
    </xf>
    <xf numFmtId="2" fontId="45" fillId="0" borderId="72" xfId="68" applyNumberFormat="1" applyFont="1" applyFill="1" applyBorder="1" applyAlignment="1" applyProtection="1">
      <alignment horizontal="center" vertical="center"/>
      <protection/>
    </xf>
    <xf numFmtId="9" fontId="5" fillId="0" borderId="8" xfId="0" applyNumberFormat="1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175" fontId="8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/>
    </xf>
    <xf numFmtId="4" fontId="45" fillId="0" borderId="0" xfId="0" applyNumberFormat="1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center" vertical="top" wrapText="1"/>
    </xf>
    <xf numFmtId="4" fontId="45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2" fontId="1" fillId="0" borderId="33" xfId="0" applyNumberFormat="1" applyFont="1" applyBorder="1" applyAlignment="1">
      <alignment vertical="top" wrapText="1"/>
    </xf>
    <xf numFmtId="2" fontId="0" fillId="0" borderId="33" xfId="0" applyNumberFormat="1" applyBorder="1" applyAlignment="1">
      <alignment/>
    </xf>
    <xf numFmtId="2" fontId="1" fillId="0" borderId="72" xfId="0" applyNumberFormat="1" applyFont="1" applyFill="1" applyBorder="1" applyAlignment="1">
      <alignment vertical="top" wrapText="1"/>
    </xf>
    <xf numFmtId="0" fontId="1" fillId="0" borderId="72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vertical="top" wrapText="1"/>
    </xf>
    <xf numFmtId="175" fontId="1" fillId="0" borderId="33" xfId="0" applyNumberFormat="1" applyFont="1" applyFill="1" applyBorder="1" applyAlignment="1">
      <alignment vertical="top" wrapText="1"/>
    </xf>
    <xf numFmtId="2" fontId="1" fillId="0" borderId="33" xfId="74" applyNumberFormat="1" applyFont="1" applyFill="1" applyBorder="1" applyAlignment="1">
      <alignment horizontal="right" wrapText="1"/>
      <protection/>
    </xf>
    <xf numFmtId="2" fontId="1" fillId="0" borderId="33" xfId="0" applyNumberFormat="1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horizontal="right" vertical="top" wrapText="1"/>
    </xf>
    <xf numFmtId="2" fontId="21" fillId="0" borderId="33" xfId="0" applyNumberFormat="1" applyFont="1" applyFill="1" applyBorder="1" applyAlignment="1">
      <alignment vertical="top" wrapText="1"/>
    </xf>
    <xf numFmtId="0" fontId="21" fillId="0" borderId="85" xfId="0" applyFont="1" applyFill="1" applyBorder="1" applyAlignment="1">
      <alignment vertical="top" wrapText="1"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175" fontId="1" fillId="0" borderId="0" xfId="0" applyNumberFormat="1" applyFont="1" applyFill="1" applyBorder="1" applyAlignment="1">
      <alignment horizontal="center" vertical="top" wrapText="1"/>
    </xf>
    <xf numFmtId="2" fontId="1" fillId="0" borderId="0" xfId="74" applyNumberFormat="1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51" fillId="0" borderId="58" xfId="68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7" borderId="55" xfId="0" applyFont="1" applyFill="1" applyBorder="1" applyAlignment="1">
      <alignment horizontal="center" vertical="center" wrapText="1"/>
    </xf>
    <xf numFmtId="175" fontId="45" fillId="0" borderId="33" xfId="0" applyNumberFormat="1" applyFont="1" applyFill="1" applyBorder="1" applyAlignment="1">
      <alignment vertical="top" wrapText="1"/>
    </xf>
    <xf numFmtId="0" fontId="1" fillId="0" borderId="8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10" fontId="1" fillId="0" borderId="72" xfId="0" applyNumberFormat="1" applyFont="1" applyBorder="1" applyAlignment="1">
      <alignment vertical="center" wrapText="1"/>
    </xf>
    <xf numFmtId="2" fontId="1" fillId="0" borderId="83" xfId="0" applyNumberFormat="1" applyFont="1" applyBorder="1" applyAlignment="1">
      <alignment vertical="center" wrapText="1"/>
    </xf>
    <xf numFmtId="0" fontId="1" fillId="31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0" fontId="1" fillId="0" borderId="16" xfId="0" applyNumberFormat="1" applyFont="1" applyFill="1" applyBorder="1" applyAlignment="1">
      <alignment vertical="center" wrapText="1"/>
    </xf>
    <xf numFmtId="2" fontId="1" fillId="0" borderId="49" xfId="0" applyNumberFormat="1" applyFont="1" applyFill="1" applyBorder="1" applyAlignment="1">
      <alignment vertical="center" wrapText="1"/>
    </xf>
    <xf numFmtId="0" fontId="0" fillId="0" borderId="84" xfId="0" applyBorder="1" applyAlignment="1">
      <alignment/>
    </xf>
    <xf numFmtId="0" fontId="1" fillId="0" borderId="72" xfId="0" applyFont="1" applyBorder="1" applyAlignment="1">
      <alignment vertical="top" wrapText="1"/>
    </xf>
    <xf numFmtId="2" fontId="1" fillId="0" borderId="72" xfId="0" applyNumberFormat="1" applyFont="1" applyBorder="1" applyAlignment="1">
      <alignment vertical="top" wrapText="1"/>
    </xf>
    <xf numFmtId="2" fontId="0" fillId="0" borderId="72" xfId="0" applyNumberFormat="1" applyBorder="1" applyAlignment="1">
      <alignment/>
    </xf>
    <xf numFmtId="0" fontId="1" fillId="0" borderId="44" xfId="0" applyFont="1" applyFill="1" applyBorder="1" applyAlignment="1">
      <alignment horizontal="center" vertical="top" wrapText="1"/>
    </xf>
    <xf numFmtId="0" fontId="1" fillId="0" borderId="79" xfId="0" applyFont="1" applyFill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21" fillId="0" borderId="44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2" fontId="21" fillId="0" borderId="33" xfId="0" applyNumberFormat="1" applyFont="1" applyBorder="1" applyAlignment="1">
      <alignment horizontal="right" vertical="top" wrapText="1"/>
    </xf>
    <xf numFmtId="0" fontId="17" fillId="0" borderId="43" xfId="68" applyNumberFormat="1" applyFont="1" applyFill="1" applyBorder="1" applyAlignment="1" applyProtection="1">
      <alignment horizontal="center" vertical="center"/>
      <protection/>
    </xf>
    <xf numFmtId="2" fontId="51" fillId="0" borderId="62" xfId="68" applyNumberFormat="1" applyFont="1" applyFill="1" applyBorder="1" applyAlignment="1" applyProtection="1">
      <alignment horizontal="center" vertical="top"/>
      <protection/>
    </xf>
    <xf numFmtId="2" fontId="51" fillId="0" borderId="36" xfId="68" applyNumberFormat="1" applyFont="1" applyFill="1" applyBorder="1" applyAlignment="1" applyProtection="1">
      <alignment horizontal="center" vertical="top"/>
      <protection/>
    </xf>
    <xf numFmtId="10" fontId="17" fillId="0" borderId="36" xfId="68" applyNumberFormat="1" applyFont="1" applyFill="1" applyBorder="1" applyAlignment="1" applyProtection="1">
      <alignment horizontal="center" vertical="top"/>
      <protection/>
    </xf>
    <xf numFmtId="2" fontId="45" fillId="0" borderId="36" xfId="68" applyNumberFormat="1" applyFont="1" applyFill="1" applyBorder="1" applyAlignment="1" applyProtection="1">
      <alignment horizontal="center" vertical="center"/>
      <protection/>
    </xf>
    <xf numFmtId="2" fontId="1" fillId="0" borderId="36" xfId="68" applyNumberFormat="1" applyFont="1" applyFill="1" applyBorder="1" applyAlignment="1" applyProtection="1">
      <alignment horizontal="center" vertical="top"/>
      <protection/>
    </xf>
    <xf numFmtId="4" fontId="1" fillId="0" borderId="36" xfId="68" applyNumberFormat="1" applyFont="1" applyFill="1" applyBorder="1" applyAlignment="1" applyProtection="1">
      <alignment horizontal="center" vertical="center"/>
      <protection/>
    </xf>
    <xf numFmtId="2" fontId="17" fillId="0" borderId="62" xfId="68" applyNumberFormat="1" applyFont="1" applyFill="1" applyBorder="1" applyAlignment="1" applyProtection="1">
      <alignment horizontal="center" vertical="center"/>
      <protection/>
    </xf>
    <xf numFmtId="2" fontId="17" fillId="0" borderId="36" xfId="68" applyNumberFormat="1" applyFont="1" applyFill="1" applyBorder="1" applyAlignment="1" applyProtection="1">
      <alignment horizontal="center" vertical="center"/>
      <protection/>
    </xf>
    <xf numFmtId="2" fontId="17" fillId="0" borderId="64" xfId="68" applyNumberFormat="1" applyFont="1" applyFill="1" applyBorder="1" applyAlignment="1" applyProtection="1">
      <alignment horizontal="center" vertical="center"/>
      <protection/>
    </xf>
    <xf numFmtId="0" fontId="51" fillId="0" borderId="32" xfId="68" applyNumberFormat="1" applyFont="1" applyFill="1" applyBorder="1" applyAlignment="1" applyProtection="1">
      <alignment horizontal="center" vertical="center" wrapText="1"/>
      <protection/>
    </xf>
    <xf numFmtId="0" fontId="17" fillId="0" borderId="32" xfId="68" applyNumberFormat="1" applyFont="1" applyFill="1" applyBorder="1" applyAlignment="1" applyProtection="1">
      <alignment horizontal="center" vertical="center"/>
      <protection/>
    </xf>
    <xf numFmtId="4" fontId="51" fillId="0" borderId="47" xfId="68" applyNumberFormat="1" applyFont="1" applyFill="1" applyBorder="1" applyAlignment="1" applyProtection="1">
      <alignment horizontal="center" vertical="center"/>
      <protection/>
    </xf>
    <xf numFmtId="0" fontId="17" fillId="0" borderId="33" xfId="68" applyNumberFormat="1" applyFont="1" applyFill="1" applyBorder="1" applyAlignment="1" applyProtection="1">
      <alignment horizontal="center" vertical="center"/>
      <protection/>
    </xf>
    <xf numFmtId="0" fontId="51" fillId="0" borderId="33" xfId="68" applyNumberFormat="1" applyFont="1" applyFill="1" applyBorder="1" applyAlignment="1" applyProtection="1">
      <alignment horizontal="center" vertical="center"/>
      <protection/>
    </xf>
    <xf numFmtId="2" fontId="45" fillId="0" borderId="33" xfId="68" applyNumberFormat="1" applyFont="1" applyFill="1" applyBorder="1" applyAlignment="1" applyProtection="1">
      <alignment horizontal="center" vertical="center"/>
      <protection/>
    </xf>
    <xf numFmtId="2" fontId="17" fillId="0" borderId="33" xfId="68" applyNumberFormat="1" applyFont="1" applyFill="1" applyBorder="1" applyAlignment="1" applyProtection="1">
      <alignment horizontal="center" vertical="top"/>
      <protection/>
    </xf>
    <xf numFmtId="2" fontId="5" fillId="0" borderId="33" xfId="68" applyNumberFormat="1" applyFont="1" applyFill="1" applyBorder="1" applyAlignment="1" applyProtection="1">
      <alignment horizontal="center" vertical="center"/>
      <protection/>
    </xf>
    <xf numFmtId="2" fontId="17" fillId="0" borderId="33" xfId="68" applyNumberFormat="1" applyFont="1" applyFill="1" applyBorder="1" applyAlignment="1" applyProtection="1">
      <alignment horizontal="center" vertical="center"/>
      <protection/>
    </xf>
    <xf numFmtId="174" fontId="17" fillId="0" borderId="33" xfId="68" applyNumberFormat="1" applyFont="1" applyFill="1" applyBorder="1" applyAlignment="1" applyProtection="1">
      <alignment horizontal="center" vertical="center"/>
      <protection/>
    </xf>
    <xf numFmtId="174" fontId="17" fillId="0" borderId="35" xfId="68" applyNumberFormat="1" applyFont="1" applyFill="1" applyBorder="1" applyAlignment="1" applyProtection="1">
      <alignment horizontal="center" vertical="center"/>
      <protection/>
    </xf>
    <xf numFmtId="2" fontId="17" fillId="0" borderId="47" xfId="68" applyNumberFormat="1" applyFont="1" applyFill="1" applyBorder="1" applyAlignment="1" applyProtection="1">
      <alignment horizontal="center" vertical="center"/>
      <protection/>
    </xf>
    <xf numFmtId="2" fontId="17" fillId="0" borderId="46" xfId="68" applyNumberFormat="1" applyFont="1" applyFill="1" applyBorder="1" applyAlignment="1" applyProtection="1">
      <alignment horizontal="center" vertical="center"/>
      <protection/>
    </xf>
    <xf numFmtId="2" fontId="17" fillId="0" borderId="33" xfId="68" applyNumberFormat="1" applyFont="1" applyFill="1" applyBorder="1" applyAlignment="1" applyProtection="1">
      <alignment vertical="top"/>
      <protection/>
    </xf>
    <xf numFmtId="2" fontId="17" fillId="0" borderId="35" xfId="6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1" fillId="0" borderId="85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173" fontId="0" fillId="31" borderId="0" xfId="0" applyNumberFormat="1" applyFill="1" applyBorder="1" applyAlignment="1">
      <alignment/>
    </xf>
    <xf numFmtId="175" fontId="63" fillId="0" borderId="33" xfId="0" applyNumberFormat="1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left" vertical="justify" wrapText="1"/>
    </xf>
    <xf numFmtId="175" fontId="31" fillId="0" borderId="72" xfId="0" applyNumberFormat="1" applyFont="1" applyFill="1" applyBorder="1" applyAlignment="1">
      <alignment horizontal="right" vertical="center" wrapText="1"/>
    </xf>
    <xf numFmtId="10" fontId="14" fillId="0" borderId="16" xfId="0" applyNumberFormat="1" applyFont="1" applyFill="1" applyBorder="1" applyAlignment="1">
      <alignment horizontal="right" vertical="center" wrapText="1"/>
    </xf>
    <xf numFmtId="10" fontId="21" fillId="0" borderId="29" xfId="0" applyNumberFormat="1" applyFont="1" applyFill="1" applyBorder="1" applyAlignment="1">
      <alignment horizontal="right" vertical="center" wrapText="1"/>
    </xf>
    <xf numFmtId="0" fontId="37" fillId="31" borderId="76" xfId="75" applyFont="1" applyFill="1" applyBorder="1" applyAlignment="1">
      <alignment horizontal="center" vertical="center" wrapText="1"/>
      <protection/>
    </xf>
    <xf numFmtId="0" fontId="0" fillId="37" borderId="78" xfId="0" applyFill="1" applyBorder="1" applyAlignment="1">
      <alignment/>
    </xf>
    <xf numFmtId="0" fontId="24" fillId="37" borderId="8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0" xfId="0" applyFill="1" applyBorder="1" applyAlignment="1">
      <alignment/>
    </xf>
    <xf numFmtId="0" fontId="83" fillId="0" borderId="8" xfId="0" applyFont="1" applyBorder="1" applyAlignment="1">
      <alignment/>
    </xf>
    <xf numFmtId="0" fontId="0" fillId="38" borderId="8" xfId="0" applyFill="1" applyBorder="1" applyAlignment="1">
      <alignment/>
    </xf>
    <xf numFmtId="0" fontId="83" fillId="0" borderId="8" xfId="0" applyFont="1" applyFill="1" applyBorder="1" applyAlignment="1">
      <alignment/>
    </xf>
    <xf numFmtId="0" fontId="83" fillId="39" borderId="8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37" fillId="0" borderId="0" xfId="75" applyBorder="1" applyAlignment="1">
      <alignment horizontal="center" vertical="center"/>
      <protection/>
    </xf>
    <xf numFmtId="0" fontId="84" fillId="0" borderId="8" xfId="75" applyFont="1" applyBorder="1">
      <alignment/>
      <protection/>
    </xf>
    <xf numFmtId="49" fontId="85" fillId="0" borderId="16" xfId="0" applyNumberFormat="1" applyFont="1" applyFill="1" applyBorder="1" applyAlignment="1">
      <alignment horizontal="left" vertical="justify" wrapText="1"/>
    </xf>
    <xf numFmtId="0" fontId="85" fillId="0" borderId="17" xfId="0" applyFont="1" applyFill="1" applyBorder="1" applyAlignment="1">
      <alignment horizontal="left" vertical="justify" wrapText="1"/>
    </xf>
    <xf numFmtId="175" fontId="21" fillId="0" borderId="22" xfId="0" applyNumberFormat="1" applyFont="1" applyFill="1" applyBorder="1" applyAlignment="1">
      <alignment horizontal="righ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49" fontId="88" fillId="0" borderId="0" xfId="65" applyNumberFormat="1" applyFont="1" applyAlignment="1">
      <alignment horizontal="centerContinuous"/>
      <protection/>
    </xf>
    <xf numFmtId="0" fontId="88" fillId="0" borderId="0" xfId="65" applyFont="1" applyAlignment="1">
      <alignment horizontal="centerContinuous"/>
      <protection/>
    </xf>
    <xf numFmtId="49" fontId="87" fillId="0" borderId="0" xfId="71" applyFont="1">
      <alignment vertical="top"/>
      <protection/>
    </xf>
    <xf numFmtId="0" fontId="87" fillId="0" borderId="0" xfId="0" applyFont="1" applyBorder="1" applyAlignment="1">
      <alignment/>
    </xf>
    <xf numFmtId="0" fontId="87" fillId="0" borderId="0" xfId="0" applyFont="1" applyAlignment="1">
      <alignment horizontal="left"/>
    </xf>
    <xf numFmtId="0" fontId="87" fillId="0" borderId="0" xfId="65" applyFont="1">
      <alignment/>
      <protection/>
    </xf>
    <xf numFmtId="176" fontId="87" fillId="0" borderId="0" xfId="65" applyNumberFormat="1" applyFont="1">
      <alignment/>
      <protection/>
    </xf>
    <xf numFmtId="0" fontId="87" fillId="0" borderId="0" xfId="65" applyFont="1" applyAlignment="1">
      <alignment horizontal="center"/>
      <protection/>
    </xf>
    <xf numFmtId="0" fontId="87" fillId="0" borderId="0" xfId="65" applyFont="1" applyFill="1">
      <alignment/>
      <protection/>
    </xf>
    <xf numFmtId="10" fontId="90" fillId="0" borderId="8" xfId="81" applyNumberFormat="1" applyFont="1" applyFill="1" applyBorder="1" applyAlignment="1">
      <alignment horizontal="center" vertical="center"/>
    </xf>
    <xf numFmtId="178" fontId="90" fillId="0" borderId="8" xfId="65" applyNumberFormat="1" applyFont="1" applyFill="1" applyBorder="1" applyAlignment="1" applyProtection="1">
      <alignment horizontal="center" vertical="center"/>
      <protection locked="0"/>
    </xf>
    <xf numFmtId="175" fontId="90" fillId="0" borderId="8" xfId="65" applyNumberFormat="1" applyFont="1" applyFill="1" applyBorder="1" applyAlignment="1" applyProtection="1">
      <alignment horizontal="center" vertical="center"/>
      <protection locked="0"/>
    </xf>
    <xf numFmtId="178" fontId="90" fillId="0" borderId="8" xfId="81" applyNumberFormat="1" applyFont="1" applyFill="1" applyBorder="1" applyAlignment="1">
      <alignment horizontal="center" vertical="center"/>
    </xf>
    <xf numFmtId="175" fontId="90" fillId="0" borderId="8" xfId="81" applyNumberFormat="1" applyFont="1" applyFill="1" applyBorder="1" applyAlignment="1">
      <alignment horizontal="center" vertical="center"/>
    </xf>
    <xf numFmtId="0" fontId="87" fillId="0" borderId="0" xfId="65" applyFont="1" applyFill="1" applyBorder="1" applyAlignment="1">
      <alignment horizontal="center"/>
      <protection/>
    </xf>
    <xf numFmtId="172" fontId="90" fillId="0" borderId="0" xfId="81" applyNumberFormat="1" applyFont="1" applyFill="1" applyBorder="1" applyAlignment="1">
      <alignment horizontal="center" vertical="center"/>
    </xf>
    <xf numFmtId="0" fontId="87" fillId="0" borderId="0" xfId="65" applyFont="1" applyFill="1" applyBorder="1" applyAlignment="1">
      <alignment/>
      <protection/>
    </xf>
    <xf numFmtId="0" fontId="87" fillId="0" borderId="8" xfId="0" applyFont="1" applyFill="1" applyBorder="1" applyAlignment="1">
      <alignment horizontal="center" vertical="center"/>
    </xf>
    <xf numFmtId="176" fontId="89" fillId="0" borderId="8" xfId="81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65" applyFont="1" applyFill="1" applyBorder="1" applyAlignment="1">
      <alignment vertical="top"/>
      <protection/>
    </xf>
    <xf numFmtId="0" fontId="90" fillId="0" borderId="0" xfId="65" applyFont="1" applyFill="1" applyBorder="1" applyAlignment="1">
      <alignment vertical="top"/>
      <protection/>
    </xf>
    <xf numFmtId="0" fontId="91" fillId="0" borderId="8" xfId="65" applyFont="1" applyFill="1" applyBorder="1" applyAlignment="1">
      <alignment vertical="center" wrapText="1"/>
      <protection/>
    </xf>
    <xf numFmtId="178" fontId="89" fillId="0" borderId="8" xfId="91" applyNumberFormat="1" applyFont="1" applyFill="1" applyBorder="1" applyAlignment="1">
      <alignment horizontal="center" vertical="center"/>
      <protection/>
    </xf>
    <xf numFmtId="0" fontId="92" fillId="0" borderId="8" xfId="65" applyFont="1" applyFill="1" applyBorder="1" applyAlignment="1">
      <alignment vertical="center" wrapText="1"/>
      <protection/>
    </xf>
    <xf numFmtId="0" fontId="93" fillId="0" borderId="8" xfId="0" applyFont="1" applyFill="1" applyBorder="1" applyAlignment="1">
      <alignment/>
    </xf>
    <xf numFmtId="178" fontId="88" fillId="0" borderId="8" xfId="0" applyNumberFormat="1" applyFont="1" applyFill="1" applyBorder="1" applyAlignment="1">
      <alignment horizontal="center"/>
    </xf>
    <xf numFmtId="0" fontId="92" fillId="0" borderId="8" xfId="65" applyFont="1" applyFill="1" applyBorder="1" applyAlignment="1">
      <alignment vertical="top" wrapText="1"/>
      <protection/>
    </xf>
    <xf numFmtId="49" fontId="87" fillId="0" borderId="0" xfId="71" applyFont="1" applyFill="1">
      <alignment vertical="top"/>
      <protection/>
    </xf>
    <xf numFmtId="0" fontId="87" fillId="0" borderId="0" xfId="65" applyFont="1" applyFill="1" applyBorder="1">
      <alignment/>
      <protection/>
    </xf>
    <xf numFmtId="0" fontId="90" fillId="0" borderId="8" xfId="55" applyFont="1" applyFill="1" applyBorder="1" applyAlignment="1">
      <alignment horizontal="center" vertical="center" wrapText="1"/>
      <protection/>
    </xf>
    <xf numFmtId="4" fontId="90" fillId="0" borderId="8" xfId="55" applyNumberFormat="1" applyFont="1" applyFill="1" applyBorder="1" applyAlignment="1" applyProtection="1">
      <alignment horizontal="center" vertical="center" wrapText="1"/>
      <protection locked="0"/>
    </xf>
    <xf numFmtId="0" fontId="90" fillId="0" borderId="8" xfId="65" applyFont="1" applyFill="1" applyBorder="1" applyAlignment="1">
      <alignment horizontal="center" vertical="top" wrapText="1"/>
      <protection/>
    </xf>
    <xf numFmtId="4" fontId="87" fillId="0" borderId="8" xfId="90" applyNumberFormat="1" applyFont="1" applyFill="1" applyBorder="1" applyAlignment="1">
      <alignment horizontal="center" vertical="center"/>
      <protection/>
    </xf>
    <xf numFmtId="4" fontId="87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/>
    </xf>
    <xf numFmtId="0" fontId="87" fillId="0" borderId="8" xfId="0" applyFont="1" applyFill="1" applyBorder="1" applyAlignment="1">
      <alignment/>
    </xf>
    <xf numFmtId="4" fontId="90" fillId="0" borderId="8" xfId="90" applyNumberFormat="1" applyFont="1" applyFill="1" applyBorder="1" applyAlignment="1">
      <alignment horizontal="center" vertical="center"/>
      <protection/>
    </xf>
    <xf numFmtId="4" fontId="87" fillId="0" borderId="8" xfId="90" applyNumberFormat="1" applyFont="1" applyFill="1" applyBorder="1" applyAlignment="1" applyProtection="1">
      <alignment horizontal="center" vertical="center"/>
      <protection locked="0"/>
    </xf>
    <xf numFmtId="219" fontId="87" fillId="0" borderId="0" xfId="65" applyNumberFormat="1" applyFont="1" applyFill="1" applyBorder="1">
      <alignment/>
      <protection/>
    </xf>
    <xf numFmtId="4" fontId="87" fillId="0" borderId="8" xfId="0" applyNumberFormat="1" applyFont="1" applyFill="1" applyBorder="1" applyAlignment="1">
      <alignment horizontal="center"/>
    </xf>
    <xf numFmtId="4" fontId="87" fillId="0" borderId="8" xfId="65" applyNumberFormat="1" applyFont="1" applyFill="1" applyBorder="1" applyAlignment="1" applyProtection="1">
      <alignment horizontal="center" vertical="center"/>
      <protection locked="0"/>
    </xf>
    <xf numFmtId="0" fontId="88" fillId="0" borderId="0" xfId="65" applyFont="1" applyFill="1" applyBorder="1" applyAlignment="1">
      <alignment horizontal="center" vertical="center"/>
      <protection/>
    </xf>
    <xf numFmtId="0" fontId="88" fillId="0" borderId="0" xfId="65" applyFont="1" applyFill="1" applyBorder="1" applyAlignment="1">
      <alignment horizontal="left" vertical="center" wrapText="1"/>
      <protection/>
    </xf>
    <xf numFmtId="230" fontId="88" fillId="0" borderId="0" xfId="88" applyNumberFormat="1" applyFont="1" applyFill="1" applyBorder="1" applyAlignment="1">
      <alignment horizontal="center" vertical="center"/>
    </xf>
    <xf numFmtId="10" fontId="88" fillId="0" borderId="0" xfId="8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0" fontId="87" fillId="41" borderId="32" xfId="0" applyFont="1" applyFill="1" applyBorder="1" applyAlignment="1">
      <alignment/>
    </xf>
    <xf numFmtId="0" fontId="87" fillId="0" borderId="0" xfId="65" applyFont="1" applyFill="1" applyBorder="1" applyAlignment="1">
      <alignment horizontal="left" vertical="center"/>
      <protection/>
    </xf>
    <xf numFmtId="0" fontId="87" fillId="42" borderId="32" xfId="0" applyFont="1" applyFill="1" applyBorder="1" applyAlignment="1">
      <alignment/>
    </xf>
    <xf numFmtId="0" fontId="87" fillId="31" borderId="32" xfId="0" applyFont="1" applyFill="1" applyBorder="1" applyAlignment="1">
      <alignment/>
    </xf>
    <xf numFmtId="0" fontId="87" fillId="37" borderId="32" xfId="0" applyFont="1" applyFill="1" applyBorder="1" applyAlignment="1">
      <alignment/>
    </xf>
    <xf numFmtId="0" fontId="87" fillId="0" borderId="32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62" fillId="0" borderId="13" xfId="0" applyFont="1" applyBorder="1" applyAlignment="1">
      <alignment/>
    </xf>
    <xf numFmtId="174" fontId="62" fillId="0" borderId="15" xfId="0" applyNumberFormat="1" applyFont="1" applyBorder="1" applyAlignment="1">
      <alignment/>
    </xf>
    <xf numFmtId="0" fontId="62" fillId="0" borderId="16" xfId="0" applyFont="1" applyBorder="1" applyAlignment="1">
      <alignment/>
    </xf>
    <xf numFmtId="174" fontId="62" fillId="41" borderId="17" xfId="0" applyNumberFormat="1" applyFont="1" applyFill="1" applyBorder="1" applyAlignment="1">
      <alignment/>
    </xf>
    <xf numFmtId="0" fontId="62" fillId="0" borderId="18" xfId="0" applyFont="1" applyBorder="1" applyAlignment="1">
      <alignment/>
    </xf>
    <xf numFmtId="174" fontId="62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172" fontId="96" fillId="0" borderId="8" xfId="75" applyNumberFormat="1" applyFont="1" applyBorder="1" applyAlignment="1">
      <alignment vertical="center" wrapText="1"/>
      <protection/>
    </xf>
    <xf numFmtId="2" fontId="87" fillId="0" borderId="8" xfId="0" applyNumberFormat="1" applyFont="1" applyFill="1" applyBorder="1" applyAlignment="1">
      <alignment horizontal="center" vertical="center"/>
    </xf>
    <xf numFmtId="49" fontId="97" fillId="0" borderId="0" xfId="67" applyNumberFormat="1" applyFont="1" applyFill="1" applyProtection="1">
      <alignment/>
      <protection/>
    </xf>
    <xf numFmtId="2" fontId="97" fillId="0" borderId="0" xfId="67" applyNumberFormat="1" applyFont="1" applyFill="1" applyProtection="1">
      <alignment/>
      <protection/>
    </xf>
    <xf numFmtId="0" fontId="97" fillId="0" borderId="0" xfId="67" applyFont="1" applyFill="1" applyProtection="1">
      <alignment/>
      <protection/>
    </xf>
    <xf numFmtId="0" fontId="97" fillId="0" borderId="0" xfId="67" applyFont="1" applyFill="1" applyAlignment="1" applyProtection="1">
      <alignment horizontal="right"/>
      <protection/>
    </xf>
    <xf numFmtId="1" fontId="97" fillId="0" borderId="0" xfId="67" applyNumberFormat="1" applyFont="1" applyFill="1" applyAlignment="1" applyProtection="1">
      <alignment horizontal="left"/>
      <protection/>
    </xf>
    <xf numFmtId="1" fontId="97" fillId="0" borderId="0" xfId="67" applyNumberFormat="1" applyFont="1" applyFill="1" applyProtection="1">
      <alignment/>
      <protection/>
    </xf>
    <xf numFmtId="1" fontId="97" fillId="0" borderId="0" xfId="67" applyNumberFormat="1" applyFont="1" applyFill="1" applyAlignment="1" applyProtection="1">
      <alignment horizontal="center" vertical="center" wrapText="1"/>
      <protection/>
    </xf>
    <xf numFmtId="1" fontId="97" fillId="0" borderId="0" xfId="67" applyNumberFormat="1" applyFont="1" applyFill="1" applyAlignment="1" applyProtection="1">
      <alignment horizontal="right"/>
      <protection/>
    </xf>
    <xf numFmtId="0" fontId="97" fillId="0" borderId="0" xfId="67" applyNumberFormat="1" applyFont="1" applyFill="1" applyAlignment="1" applyProtection="1">
      <alignment horizontal="right"/>
      <protection/>
    </xf>
    <xf numFmtId="0" fontId="97" fillId="0" borderId="0" xfId="67" applyFont="1" applyFill="1" applyAlignment="1" applyProtection="1">
      <alignment horizontal="right" vertical="center" wrapText="1"/>
      <protection/>
    </xf>
    <xf numFmtId="0" fontId="97" fillId="0" borderId="0" xfId="67" applyNumberFormat="1" applyFont="1" applyAlignment="1" applyProtection="1">
      <alignment horizontal="left"/>
      <protection/>
    </xf>
    <xf numFmtId="0" fontId="97" fillId="0" borderId="0" xfId="67" applyFont="1" applyProtection="1">
      <alignment/>
      <protection/>
    </xf>
    <xf numFmtId="0" fontId="98" fillId="0" borderId="0" xfId="67" applyFont="1" applyProtection="1">
      <alignment/>
      <protection/>
    </xf>
    <xf numFmtId="0" fontId="97" fillId="0" borderId="0" xfId="67" applyFont="1" applyAlignment="1" applyProtection="1">
      <alignment horizontal="left"/>
      <protection/>
    </xf>
    <xf numFmtId="0" fontId="99" fillId="0" borderId="0" xfId="67" applyFont="1" applyAlignment="1" applyProtection="1">
      <alignment horizontal="left"/>
      <protection/>
    </xf>
    <xf numFmtId="0" fontId="99" fillId="0" borderId="0" xfId="67" applyFont="1" applyProtection="1">
      <alignment/>
      <protection/>
    </xf>
    <xf numFmtId="0" fontId="100" fillId="0" borderId="0" xfId="67" applyFont="1" applyProtection="1">
      <alignment/>
      <protection/>
    </xf>
    <xf numFmtId="0" fontId="58" fillId="0" borderId="0" xfId="67" applyFont="1" applyAlignment="1" applyProtection="1">
      <alignment horizontal="center" vertical="center" wrapText="1"/>
      <protection/>
    </xf>
    <xf numFmtId="0" fontId="58" fillId="0" borderId="0" xfId="67" applyFont="1" applyProtection="1">
      <alignment/>
      <protection/>
    </xf>
    <xf numFmtId="0" fontId="58" fillId="0" borderId="0" xfId="67" applyFont="1" applyAlignment="1" applyProtection="1">
      <alignment horizontal="center"/>
      <protection/>
    </xf>
    <xf numFmtId="0" fontId="97" fillId="0" borderId="0" xfId="67" applyFont="1" applyFill="1" applyBorder="1" applyAlignment="1" applyProtection="1">
      <alignment horizontal="left"/>
      <protection/>
    </xf>
    <xf numFmtId="0" fontId="97" fillId="0" borderId="0" xfId="67" applyFont="1" applyFill="1" applyBorder="1" applyProtection="1">
      <alignment/>
      <protection/>
    </xf>
    <xf numFmtId="0" fontId="98" fillId="0" borderId="0" xfId="67" applyFont="1" applyFill="1" applyBorder="1" applyProtection="1">
      <alignment/>
      <protection/>
    </xf>
    <xf numFmtId="0" fontId="58" fillId="0" borderId="0" xfId="67" applyFont="1" applyFill="1" applyBorder="1" applyAlignment="1" applyProtection="1">
      <alignment horizontal="center"/>
      <protection/>
    </xf>
    <xf numFmtId="0" fontId="58" fillId="0" borderId="0" xfId="67" applyFont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horizontal="center" vertical="top" wrapText="1"/>
      <protection/>
    </xf>
    <xf numFmtId="0" fontId="59" fillId="0" borderId="0" xfId="67" applyFont="1" applyAlignment="1" applyProtection="1">
      <alignment horizontal="left" vertical="center" wrapText="1"/>
      <protection/>
    </xf>
    <xf numFmtId="49" fontId="89" fillId="0" borderId="8" xfId="50" applyNumberFormat="1" applyFont="1" applyFill="1" applyBorder="1" applyAlignment="1">
      <alignment horizontal="left" vertical="center" wrapText="1"/>
      <protection/>
    </xf>
    <xf numFmtId="176" fontId="90" fillId="0" borderId="8" xfId="65" applyNumberFormat="1" applyFont="1" applyFill="1" applyBorder="1" applyAlignment="1" applyProtection="1">
      <alignment horizontal="center" vertical="center"/>
      <protection locked="0"/>
    </xf>
    <xf numFmtId="0" fontId="87" fillId="0" borderId="8" xfId="0" applyFont="1" applyFill="1" applyBorder="1" applyAlignment="1">
      <alignment horizontal="center"/>
    </xf>
    <xf numFmtId="0" fontId="90" fillId="0" borderId="8" xfId="65" applyFont="1" applyFill="1" applyBorder="1" applyAlignment="1">
      <alignment horizontal="center" vertical="center"/>
      <protection/>
    </xf>
    <xf numFmtId="4" fontId="90" fillId="0" borderId="8" xfId="65" applyNumberFormat="1" applyFont="1" applyFill="1" applyBorder="1" applyAlignment="1" applyProtection="1">
      <alignment horizontal="center" vertical="center"/>
      <protection locked="0"/>
    </xf>
    <xf numFmtId="0" fontId="88" fillId="0" borderId="8" xfId="65" applyFont="1" applyFill="1" applyBorder="1" applyAlignment="1">
      <alignment horizontal="center"/>
      <protection/>
    </xf>
    <xf numFmtId="176" fontId="90" fillId="0" borderId="8" xfId="81" applyNumberFormat="1" applyFont="1" applyFill="1" applyBorder="1" applyAlignment="1">
      <alignment horizontal="center" vertical="center"/>
    </xf>
    <xf numFmtId="178" fontId="90" fillId="0" borderId="8" xfId="88" applyNumberFormat="1" applyFont="1" applyFill="1" applyBorder="1" applyAlignment="1" applyProtection="1">
      <alignment horizontal="center" vertical="center"/>
      <protection locked="0"/>
    </xf>
    <xf numFmtId="10" fontId="89" fillId="0" borderId="8" xfId="81" applyNumberFormat="1" applyFont="1" applyFill="1" applyBorder="1" applyAlignment="1">
      <alignment horizontal="center" vertical="center"/>
    </xf>
    <xf numFmtId="178" fontId="87" fillId="0" borderId="8" xfId="91" applyNumberFormat="1" applyFont="1" applyFill="1" applyBorder="1" applyAlignment="1">
      <alignment horizontal="center" vertical="center"/>
      <protection/>
    </xf>
    <xf numFmtId="178" fontId="90" fillId="0" borderId="8" xfId="91" applyNumberFormat="1" applyFont="1" applyFill="1" applyBorder="1" applyAlignment="1">
      <alignment horizontal="center" vertical="center"/>
      <protection/>
    </xf>
    <xf numFmtId="10" fontId="87" fillId="0" borderId="0" xfId="71" applyNumberFormat="1" applyFont="1" applyFill="1">
      <alignment vertical="top"/>
      <protection/>
    </xf>
    <xf numFmtId="10" fontId="87" fillId="0" borderId="8" xfId="65" applyNumberFormat="1" applyFont="1" applyFill="1" applyBorder="1" applyAlignment="1" applyProtection="1">
      <alignment horizontal="center" vertical="center"/>
      <protection locked="0"/>
    </xf>
    <xf numFmtId="4" fontId="87" fillId="0" borderId="8" xfId="88" applyNumberFormat="1" applyFont="1" applyFill="1" applyBorder="1" applyAlignment="1" applyProtection="1">
      <alignment horizontal="center" vertical="center"/>
      <protection locked="0"/>
    </xf>
    <xf numFmtId="4" fontId="87" fillId="0" borderId="8" xfId="88" applyNumberFormat="1" applyFont="1" applyFill="1" applyBorder="1" applyAlignment="1">
      <alignment horizontal="center" vertical="center"/>
    </xf>
    <xf numFmtId="178" fontId="87" fillId="0" borderId="8" xfId="88" applyNumberFormat="1" applyFont="1" applyFill="1" applyBorder="1" applyAlignment="1">
      <alignment horizontal="center" vertical="center"/>
    </xf>
    <xf numFmtId="0" fontId="88" fillId="0" borderId="8" xfId="65" applyFont="1" applyFill="1" applyBorder="1" applyAlignment="1">
      <alignment horizontal="left"/>
      <protection/>
    </xf>
    <xf numFmtId="0" fontId="89" fillId="0" borderId="8" xfId="65" applyFont="1" applyFill="1" applyBorder="1" applyAlignment="1">
      <alignment horizontal="center" vertical="center"/>
      <protection/>
    </xf>
    <xf numFmtId="0" fontId="89" fillId="0" borderId="8" xfId="65" applyFont="1" applyFill="1" applyBorder="1" applyAlignment="1">
      <alignment horizontal="left" vertical="justify"/>
      <protection/>
    </xf>
    <xf numFmtId="0" fontId="89" fillId="0" borderId="8" xfId="65" applyFont="1" applyFill="1" applyBorder="1" applyAlignment="1">
      <alignment horizontal="center" vertical="center" wrapText="1"/>
      <protection/>
    </xf>
    <xf numFmtId="0" fontId="87" fillId="0" borderId="8" xfId="65" applyFont="1" applyFill="1" applyBorder="1" applyAlignment="1">
      <alignment horizontal="left" vertical="center"/>
      <protection/>
    </xf>
    <xf numFmtId="0" fontId="5" fillId="0" borderId="29" xfId="0" applyFont="1" applyFill="1" applyBorder="1" applyAlignment="1">
      <alignment horizontal="left" vertical="center" wrapText="1"/>
    </xf>
    <xf numFmtId="49" fontId="103" fillId="0" borderId="0" xfId="67" applyNumberFormat="1" applyFont="1" applyFill="1" applyAlignment="1" applyProtection="1">
      <alignment horizontal="left"/>
      <protection/>
    </xf>
    <xf numFmtId="49" fontId="103" fillId="0" borderId="0" xfId="67" applyNumberFormat="1" applyFont="1" applyFill="1" applyProtection="1">
      <alignment/>
      <protection/>
    </xf>
    <xf numFmtId="0" fontId="103" fillId="0" borderId="0" xfId="67" applyFont="1" applyFill="1" applyAlignment="1" applyProtection="1">
      <alignment horizontal="right"/>
      <protection/>
    </xf>
    <xf numFmtId="0" fontId="103" fillId="0" borderId="0" xfId="67" applyFont="1" applyFill="1" applyProtection="1">
      <alignment/>
      <protection/>
    </xf>
    <xf numFmtId="0" fontId="59" fillId="0" borderId="0" xfId="67" applyFont="1" applyAlignment="1" applyProtection="1">
      <alignment horizontal="center" vertical="center" wrapText="1"/>
      <protection/>
    </xf>
    <xf numFmtId="0" fontId="59" fillId="0" borderId="0" xfId="67" applyFont="1" applyProtection="1">
      <alignment/>
      <protection/>
    </xf>
    <xf numFmtId="0" fontId="98" fillId="0" borderId="0" xfId="67" applyFont="1" applyAlignment="1" applyProtection="1">
      <alignment horizontal="centerContinuous" wrapText="1"/>
      <protection/>
    </xf>
    <xf numFmtId="0" fontId="59" fillId="0" borderId="0" xfId="67" applyFont="1" applyAlignment="1" applyProtection="1">
      <alignment horizontal="centerContinuous" wrapText="1"/>
      <protection/>
    </xf>
    <xf numFmtId="0" fontId="59" fillId="0" borderId="0" xfId="67" applyFont="1" applyFill="1" applyBorder="1" applyProtection="1">
      <alignment/>
      <protection/>
    </xf>
    <xf numFmtId="0" fontId="58" fillId="0" borderId="86" xfId="67" applyFont="1" applyFill="1" applyBorder="1" applyAlignment="1" applyProtection="1">
      <alignment horizontal="center" vertical="center" wrapText="1"/>
      <protection/>
    </xf>
    <xf numFmtId="0" fontId="58" fillId="0" borderId="87" xfId="67" applyFont="1" applyFill="1" applyBorder="1" applyAlignment="1" applyProtection="1">
      <alignment horizontal="center" vertical="center" wrapText="1"/>
      <protection/>
    </xf>
    <xf numFmtId="0" fontId="58" fillId="0" borderId="87" xfId="67" applyFont="1" applyFill="1" applyBorder="1" applyAlignment="1" applyProtection="1">
      <alignment horizontal="center" vertical="center"/>
      <protection/>
    </xf>
    <xf numFmtId="0" fontId="58" fillId="0" borderId="87" xfId="76" applyFont="1" applyFill="1" applyBorder="1" applyAlignment="1" applyProtection="1">
      <alignment horizontal="center" vertical="center" wrapText="1"/>
      <protection/>
    </xf>
    <xf numFmtId="0" fontId="58" fillId="0" borderId="88" xfId="76" applyFont="1" applyFill="1" applyBorder="1" applyAlignment="1" applyProtection="1">
      <alignment horizontal="center" vertical="center" wrapText="1"/>
      <protection/>
    </xf>
    <xf numFmtId="0" fontId="102" fillId="39" borderId="0" xfId="67" applyFont="1" applyFill="1" applyBorder="1" applyAlignment="1" applyProtection="1">
      <alignment horizontal="center" vertical="center" wrapText="1"/>
      <protection/>
    </xf>
    <xf numFmtId="0" fontId="58" fillId="38" borderId="89" xfId="67" applyFont="1" applyFill="1" applyBorder="1" applyAlignment="1" applyProtection="1">
      <alignment horizontal="center" vertical="center" wrapText="1"/>
      <protection/>
    </xf>
    <xf numFmtId="0" fontId="58" fillId="38" borderId="90" xfId="67" applyFont="1" applyFill="1" applyBorder="1" applyAlignment="1" applyProtection="1">
      <alignment horizontal="center" vertical="center" wrapText="1"/>
      <protection/>
    </xf>
    <xf numFmtId="0" fontId="58" fillId="38" borderId="90" xfId="67" applyFont="1" applyFill="1" applyBorder="1" applyAlignment="1" applyProtection="1">
      <alignment horizontal="center"/>
      <protection/>
    </xf>
    <xf numFmtId="0" fontId="58" fillId="38" borderId="90" xfId="76" applyFont="1" applyFill="1" applyBorder="1" applyAlignment="1" applyProtection="1">
      <alignment horizontal="center" vertical="center" wrapText="1"/>
      <protection/>
    </xf>
    <xf numFmtId="0" fontId="58" fillId="38" borderId="91" xfId="76" applyFont="1" applyFill="1" applyBorder="1" applyAlignment="1" applyProtection="1">
      <alignment horizontal="center" vertical="center" wrapText="1"/>
      <protection/>
    </xf>
    <xf numFmtId="0" fontId="59" fillId="0" borderId="92" xfId="67" applyFont="1" applyBorder="1" applyAlignment="1" applyProtection="1">
      <alignment horizontal="center" vertical="center" wrapText="1"/>
      <protection/>
    </xf>
    <xf numFmtId="0" fontId="59" fillId="0" borderId="92" xfId="67" applyFont="1" applyFill="1" applyBorder="1" applyAlignment="1" applyProtection="1">
      <alignment vertical="center" wrapText="1"/>
      <protection/>
    </xf>
    <xf numFmtId="2" fontId="59" fillId="29" borderId="92" xfId="67" applyNumberFormat="1" applyFont="1" applyFill="1" applyBorder="1" applyAlignment="1" applyProtection="1">
      <alignment horizontal="right" vertical="center" wrapText="1"/>
      <protection locked="0"/>
    </xf>
    <xf numFmtId="2" fontId="59" fillId="31" borderId="93" xfId="67" applyNumberFormat="1" applyFont="1" applyFill="1" applyBorder="1" applyAlignment="1" applyProtection="1">
      <alignment horizontal="right" vertical="center" wrapText="1"/>
      <protection/>
    </xf>
    <xf numFmtId="2" fontId="59" fillId="31" borderId="92" xfId="67" applyNumberFormat="1" applyFont="1" applyFill="1" applyBorder="1" applyAlignment="1" applyProtection="1">
      <alignment horizontal="right" vertical="center"/>
      <protection/>
    </xf>
    <xf numFmtId="0" fontId="59" fillId="0" borderId="92" xfId="67" applyFont="1" applyFill="1" applyBorder="1" applyAlignment="1" applyProtection="1">
      <alignment horizontal="left" vertical="center" wrapText="1" indent="1"/>
      <protection/>
    </xf>
    <xf numFmtId="2" fontId="59" fillId="29" borderId="92" xfId="67" applyNumberFormat="1" applyFont="1" applyFill="1" applyBorder="1" applyAlignment="1" applyProtection="1">
      <alignment horizontal="right" vertical="center"/>
      <protection locked="0"/>
    </xf>
    <xf numFmtId="0" fontId="69" fillId="0" borderId="0" xfId="67" applyFont="1" applyProtection="1">
      <alignment/>
      <protection/>
    </xf>
    <xf numFmtId="0" fontId="59" fillId="0" borderId="92" xfId="67" applyFont="1" applyBorder="1" applyAlignment="1" applyProtection="1">
      <alignment vertical="center" wrapText="1"/>
      <protection/>
    </xf>
    <xf numFmtId="0" fontId="59" fillId="0" borderId="92" xfId="67" applyFont="1" applyBorder="1" applyAlignment="1" applyProtection="1">
      <alignment horizontal="center" vertical="center"/>
      <protection/>
    </xf>
    <xf numFmtId="2" fontId="59" fillId="29" borderId="93" xfId="67" applyNumberFormat="1" applyFont="1" applyFill="1" applyBorder="1" applyAlignment="1" applyProtection="1">
      <alignment horizontal="right" vertical="center"/>
      <protection locked="0"/>
    </xf>
    <xf numFmtId="0" fontId="59" fillId="0" borderId="92" xfId="67" applyFont="1" applyBorder="1" applyAlignment="1" applyProtection="1">
      <alignment horizontal="left" vertical="center" wrapText="1" indent="1"/>
      <protection/>
    </xf>
    <xf numFmtId="0" fontId="58" fillId="38" borderId="90" xfId="67" applyFont="1" applyFill="1" applyBorder="1" applyAlignment="1" applyProtection="1">
      <alignment horizontal="center" vertical="center"/>
      <protection/>
    </xf>
    <xf numFmtId="2" fontId="59" fillId="31" borderId="93" xfId="67" applyNumberFormat="1" applyFont="1" applyFill="1" applyBorder="1" applyAlignment="1" applyProtection="1">
      <alignment horizontal="right" vertical="center"/>
      <protection/>
    </xf>
    <xf numFmtId="0" fontId="59" fillId="0" borderId="94" xfId="67" applyFont="1" applyBorder="1" applyAlignment="1" applyProtection="1">
      <alignment horizontal="center" vertical="center" wrapText="1"/>
      <protection/>
    </xf>
    <xf numFmtId="0" fontId="59" fillId="0" borderId="94" xfId="67" applyFont="1" applyFill="1" applyBorder="1" applyAlignment="1" applyProtection="1">
      <alignment horizontal="left" vertical="center" wrapText="1" indent="1"/>
      <protection/>
    </xf>
    <xf numFmtId="0" fontId="59" fillId="0" borderId="94" xfId="67" applyFont="1" applyBorder="1" applyAlignment="1" applyProtection="1">
      <alignment horizontal="center" vertical="center"/>
      <protection/>
    </xf>
    <xf numFmtId="2" fontId="59" fillId="31" borderId="94" xfId="67" applyNumberFormat="1" applyFont="1" applyFill="1" applyBorder="1" applyAlignment="1" applyProtection="1">
      <alignment horizontal="right" vertical="center"/>
      <protection/>
    </xf>
    <xf numFmtId="2" fontId="59" fillId="31" borderId="95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Border="1" applyAlignment="1" applyProtection="1">
      <alignment vertical="center" wrapText="1"/>
      <protection/>
    </xf>
    <xf numFmtId="0" fontId="59" fillId="0" borderId="0" xfId="67" applyFont="1" applyBorder="1" applyAlignment="1" applyProtection="1">
      <alignment vertical="top" wrapText="1"/>
      <protection/>
    </xf>
    <xf numFmtId="0" fontId="59" fillId="0" borderId="0" xfId="67" applyFont="1" applyFill="1" applyBorder="1" applyAlignment="1" applyProtection="1">
      <alignment horizontal="center" vertical="top" wrapText="1"/>
      <protection/>
    </xf>
    <xf numFmtId="0" fontId="59" fillId="0" borderId="0" xfId="67" applyFont="1" applyBorder="1" applyProtection="1">
      <alignment/>
      <protection/>
    </xf>
    <xf numFmtId="0" fontId="103" fillId="0" borderId="0" xfId="67" applyFont="1" applyAlignment="1" applyProtection="1">
      <alignment horizontal="left"/>
      <protection/>
    </xf>
    <xf numFmtId="0" fontId="103" fillId="0" borderId="0" xfId="67" applyFont="1" applyProtection="1">
      <alignment/>
      <protection/>
    </xf>
    <xf numFmtId="0" fontId="62" fillId="37" borderId="13" xfId="0" applyFont="1" applyFill="1" applyBorder="1" applyAlignment="1">
      <alignment/>
    </xf>
    <xf numFmtId="174" fontId="104" fillId="37" borderId="8" xfId="0" applyNumberFormat="1" applyFont="1" applyFill="1" applyBorder="1" applyAlignment="1">
      <alignment/>
    </xf>
    <xf numFmtId="0" fontId="62" fillId="37" borderId="16" xfId="0" applyFont="1" applyFill="1" applyBorder="1" applyAlignment="1">
      <alignment/>
    </xf>
    <xf numFmtId="0" fontId="62" fillId="37" borderId="18" xfId="0" applyFont="1" applyFill="1" applyBorder="1" applyAlignment="1">
      <alignment/>
    </xf>
    <xf numFmtId="0" fontId="62" fillId="29" borderId="13" xfId="0" applyFont="1" applyFill="1" applyBorder="1" applyAlignment="1">
      <alignment/>
    </xf>
    <xf numFmtId="174" fontId="88" fillId="29" borderId="8" xfId="0" applyNumberFormat="1" applyFont="1" applyFill="1" applyBorder="1" applyAlignment="1">
      <alignment/>
    </xf>
    <xf numFmtId="0" fontId="62" fillId="29" borderId="16" xfId="0" applyFont="1" applyFill="1" applyBorder="1" applyAlignment="1">
      <alignment/>
    </xf>
    <xf numFmtId="0" fontId="62" fillId="29" borderId="18" xfId="0" applyFont="1" applyFill="1" applyBorder="1" applyAlignment="1">
      <alignment/>
    </xf>
    <xf numFmtId="49" fontId="87" fillId="0" borderId="0" xfId="71" applyFont="1" applyBorder="1">
      <alignment vertical="top"/>
      <protection/>
    </xf>
    <xf numFmtId="223" fontId="87" fillId="0" borderId="8" xfId="91" applyNumberFormat="1" applyFont="1" applyFill="1" applyBorder="1" applyAlignment="1">
      <alignment horizontal="center" vertical="center"/>
      <protection/>
    </xf>
    <xf numFmtId="223" fontId="87" fillId="0" borderId="8" xfId="90" applyNumberFormat="1" applyFont="1" applyFill="1" applyBorder="1" applyAlignment="1">
      <alignment horizontal="center" vertical="center"/>
      <protection/>
    </xf>
    <xf numFmtId="223" fontId="87" fillId="0" borderId="8" xfId="0" applyNumberFormat="1" applyFont="1" applyFill="1" applyBorder="1" applyAlignment="1">
      <alignment horizontal="center" vertical="center"/>
    </xf>
    <xf numFmtId="223" fontId="87" fillId="0" borderId="8" xfId="90" applyNumberFormat="1" applyFont="1" applyFill="1" applyBorder="1" applyAlignment="1" applyProtection="1">
      <alignment horizontal="center" vertical="center"/>
      <protection locked="0"/>
    </xf>
    <xf numFmtId="223" fontId="87" fillId="0" borderId="8" xfId="88" applyNumberFormat="1" applyFont="1" applyFill="1" applyBorder="1" applyAlignment="1">
      <alignment horizontal="center" vertical="center"/>
    </xf>
    <xf numFmtId="0" fontId="87" fillId="0" borderId="0" xfId="65" applyFont="1" applyFill="1" applyAlignment="1">
      <alignment horizontal="center"/>
      <protection/>
    </xf>
    <xf numFmtId="0" fontId="87" fillId="0" borderId="0" xfId="65" applyFont="1" applyFill="1" applyBorder="1" applyAlignment="1">
      <alignment horizontal="center" vertical="center"/>
      <protection/>
    </xf>
    <xf numFmtId="0" fontId="87" fillId="0" borderId="0" xfId="65" applyFont="1" applyFill="1" applyBorder="1" applyAlignment="1">
      <alignment horizontal="left"/>
      <protection/>
    </xf>
    <xf numFmtId="0" fontId="88" fillId="0" borderId="0" xfId="65" applyFont="1" applyFill="1" applyBorder="1" applyAlignment="1">
      <alignment/>
      <protection/>
    </xf>
    <xf numFmtId="10" fontId="87" fillId="0" borderId="0" xfId="65" applyNumberFormat="1" applyFont="1" applyFill="1">
      <alignment/>
      <protection/>
    </xf>
    <xf numFmtId="0" fontId="88" fillId="0" borderId="0" xfId="65" applyFont="1" applyFill="1" applyBorder="1">
      <alignment/>
      <protection/>
    </xf>
    <xf numFmtId="0" fontId="87" fillId="0" borderId="0" xfId="72" applyNumberFormat="1" applyFont="1" applyFill="1" applyBorder="1" applyAlignment="1">
      <alignment horizontal="left" vertical="center" wrapText="1"/>
      <protection/>
    </xf>
    <xf numFmtId="0" fontId="89" fillId="0" borderId="0" xfId="65" applyFont="1" applyFill="1" applyBorder="1" applyAlignment="1">
      <alignment horizontal="left" vertical="center"/>
      <protection/>
    </xf>
    <xf numFmtId="0" fontId="90" fillId="0" borderId="0" xfId="65" applyFont="1" applyFill="1" applyBorder="1" applyAlignment="1">
      <alignment horizontal="center" vertical="center" wrapText="1"/>
      <protection/>
    </xf>
    <xf numFmtId="10" fontId="105" fillId="0" borderId="0" xfId="71" applyNumberFormat="1" applyFont="1" applyFill="1">
      <alignment vertical="top"/>
      <protection/>
    </xf>
    <xf numFmtId="4" fontId="106" fillId="0" borderId="0" xfId="65" applyNumberFormat="1" applyFont="1" applyFill="1" applyBorder="1" applyAlignment="1">
      <alignment horizontal="center"/>
      <protection/>
    </xf>
    <xf numFmtId="219" fontId="105" fillId="0" borderId="0" xfId="65" applyNumberFormat="1" applyFont="1" applyFill="1" applyBorder="1">
      <alignment/>
      <protection/>
    </xf>
    <xf numFmtId="4" fontId="105" fillId="0" borderId="0" xfId="0" applyNumberFormat="1" applyFont="1" applyFill="1" applyBorder="1" applyAlignment="1">
      <alignment/>
    </xf>
    <xf numFmtId="223" fontId="87" fillId="0" borderId="8" xfId="55" applyNumberFormat="1" applyFont="1" applyFill="1" applyBorder="1" applyAlignment="1" applyProtection="1">
      <alignment horizontal="center" vertical="center" wrapText="1"/>
      <protection locked="0"/>
    </xf>
    <xf numFmtId="219" fontId="105" fillId="0" borderId="0" xfId="0" applyNumberFormat="1" applyFont="1" applyFill="1" applyBorder="1" applyAlignment="1">
      <alignment/>
    </xf>
    <xf numFmtId="223" fontId="105" fillId="0" borderId="0" xfId="65" applyNumberFormat="1" applyFont="1" applyFill="1">
      <alignment/>
      <protection/>
    </xf>
    <xf numFmtId="0" fontId="3" fillId="0" borderId="0" xfId="0" applyFont="1" applyAlignment="1">
      <alignment horizontal="center" vertical="center" wrapText="1"/>
    </xf>
    <xf numFmtId="0" fontId="68" fillId="0" borderId="0" xfId="0" applyFont="1" applyAlignment="1">
      <alignment horizontal="justify" vertical="center" wrapText="1"/>
    </xf>
    <xf numFmtId="0" fontId="68" fillId="0" borderId="0" xfId="0" applyFont="1" applyAlignment="1">
      <alignment horizontal="left" vertical="center" wrapText="1"/>
    </xf>
    <xf numFmtId="223" fontId="90" fillId="0" borderId="8" xfId="55" applyNumberFormat="1" applyFont="1" applyFill="1" applyBorder="1" applyAlignment="1" applyProtection="1">
      <alignment horizontal="center" vertical="center" wrapText="1"/>
      <protection locked="0"/>
    </xf>
    <xf numFmtId="0" fontId="37" fillId="0" borderId="50" xfId="75" applyFont="1" applyBorder="1" applyAlignment="1">
      <alignment/>
      <protection/>
    </xf>
    <xf numFmtId="0" fontId="37" fillId="0" borderId="8" xfId="75" applyBorder="1">
      <alignment/>
      <protection/>
    </xf>
    <xf numFmtId="0" fontId="37" fillId="0" borderId="8" xfId="75" applyFont="1" applyBorder="1" applyAlignment="1">
      <alignment horizontal="center" vertical="center" wrapText="1"/>
      <protection/>
    </xf>
    <xf numFmtId="0" fontId="37" fillId="0" borderId="8" xfId="75" applyFont="1" applyFill="1" applyBorder="1">
      <alignment/>
      <protection/>
    </xf>
    <xf numFmtId="0" fontId="37" fillId="0" borderId="8" xfId="75" applyFill="1" applyBorder="1">
      <alignment/>
      <protection/>
    </xf>
    <xf numFmtId="0" fontId="67" fillId="0" borderId="8" xfId="75" applyFont="1" applyBorder="1" applyAlignment="1">
      <alignment horizontal="center" vertical="center" wrapText="1"/>
      <protection/>
    </xf>
    <xf numFmtId="0" fontId="64" fillId="0" borderId="8" xfId="75" applyFont="1" applyBorder="1" applyAlignment="1">
      <alignment wrapText="1"/>
      <protection/>
    </xf>
    <xf numFmtId="176" fontId="66" fillId="0" borderId="8" xfId="75" applyNumberFormat="1" applyFont="1" applyBorder="1" applyAlignment="1">
      <alignment vertical="center" wrapText="1"/>
      <protection/>
    </xf>
    <xf numFmtId="10" fontId="37" fillId="0" borderId="8" xfId="81" applyNumberFormat="1" applyFont="1" applyBorder="1" applyAlignment="1">
      <alignment/>
    </xf>
    <xf numFmtId="176" fontId="64" fillId="0" borderId="8" xfId="75" applyNumberFormat="1" applyFont="1" applyBorder="1">
      <alignment/>
      <protection/>
    </xf>
    <xf numFmtId="172" fontId="37" fillId="0" borderId="8" xfId="75" applyNumberFormat="1" applyBorder="1">
      <alignment/>
      <protection/>
    </xf>
    <xf numFmtId="2" fontId="37" fillId="0" borderId="8" xfId="75" applyNumberFormat="1" applyBorder="1">
      <alignment/>
      <protection/>
    </xf>
    <xf numFmtId="172" fontId="11" fillId="0" borderId="8" xfId="75" applyNumberFormat="1" applyFont="1" applyBorder="1">
      <alignment/>
      <protection/>
    </xf>
    <xf numFmtId="10" fontId="37" fillId="0" borderId="8" xfId="75" applyNumberFormat="1" applyBorder="1">
      <alignment/>
      <protection/>
    </xf>
    <xf numFmtId="4" fontId="66" fillId="0" borderId="8" xfId="75" applyNumberFormat="1" applyFont="1" applyBorder="1" applyAlignment="1">
      <alignment vertical="center" wrapText="1"/>
      <protection/>
    </xf>
    <xf numFmtId="4" fontId="37" fillId="0" borderId="8" xfId="81" applyNumberFormat="1" applyFont="1" applyBorder="1" applyAlignment="1">
      <alignment/>
    </xf>
    <xf numFmtId="4" fontId="64" fillId="0" borderId="8" xfId="75" applyNumberFormat="1" applyFont="1" applyBorder="1">
      <alignment/>
      <protection/>
    </xf>
    <xf numFmtId="4" fontId="29" fillId="0" borderId="8" xfId="81" applyNumberFormat="1" applyFont="1" applyBorder="1" applyAlignment="1">
      <alignment/>
    </xf>
    <xf numFmtId="0" fontId="37" fillId="0" borderId="8" xfId="75" applyBorder="1" applyAlignment="1">
      <alignment horizontal="left" vertical="center" wrapText="1"/>
      <protection/>
    </xf>
    <xf numFmtId="0" fontId="11" fillId="0" borderId="8" xfId="75" applyFont="1" applyBorder="1" applyAlignment="1">
      <alignment horizontal="left" vertical="center" wrapText="1"/>
      <protection/>
    </xf>
    <xf numFmtId="0" fontId="37" fillId="0" borderId="8" xfId="75" applyFont="1" applyBorder="1" applyAlignment="1">
      <alignment horizontal="left" vertical="center" wrapText="1"/>
      <protection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9" fillId="0" borderId="8" xfId="0" applyFont="1" applyBorder="1" applyAlignment="1">
      <alignment/>
    </xf>
    <xf numFmtId="0" fontId="65" fillId="0" borderId="8" xfId="0" applyFont="1" applyBorder="1" applyAlignment="1">
      <alignment/>
    </xf>
    <xf numFmtId="0" fontId="40" fillId="0" borderId="8" xfId="0" applyFont="1" applyBorder="1" applyAlignment="1">
      <alignment/>
    </xf>
    <xf numFmtId="0" fontId="69" fillId="0" borderId="8" xfId="0" applyFont="1" applyFill="1" applyBorder="1" applyAlignment="1">
      <alignment/>
    </xf>
    <xf numFmtId="0" fontId="3" fillId="43" borderId="8" xfId="0" applyFont="1" applyFill="1" applyBorder="1" applyAlignment="1">
      <alignment horizontal="center" vertical="center" wrapText="1"/>
    </xf>
    <xf numFmtId="172" fontId="73" fillId="0" borderId="8" xfId="0" applyNumberFormat="1" applyFont="1" applyBorder="1" applyAlignment="1">
      <alignment vertical="center"/>
    </xf>
    <xf numFmtId="0" fontId="73" fillId="0" borderId="8" xfId="0" applyFont="1" applyBorder="1" applyAlignment="1">
      <alignment/>
    </xf>
    <xf numFmtId="172" fontId="73" fillId="0" borderId="8" xfId="0" applyNumberFormat="1" applyFont="1" applyFill="1" applyBorder="1" applyAlignment="1">
      <alignment vertical="center"/>
    </xf>
    <xf numFmtId="0" fontId="73" fillId="0" borderId="8" xfId="0" applyFont="1" applyFill="1" applyBorder="1" applyAlignment="1">
      <alignment/>
    </xf>
    <xf numFmtId="0" fontId="6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73" fillId="42" borderId="8" xfId="0" applyFont="1" applyFill="1" applyBorder="1" applyAlignment="1">
      <alignment/>
    </xf>
    <xf numFmtId="0" fontId="73" fillId="42" borderId="8" xfId="0" applyFont="1" applyFill="1" applyBorder="1" applyAlignment="1">
      <alignment horizontal="center"/>
    </xf>
    <xf numFmtId="0" fontId="0" fillId="42" borderId="8" xfId="0" applyFill="1" applyBorder="1" applyAlignment="1">
      <alignment/>
    </xf>
    <xf numFmtId="0" fontId="109" fillId="31" borderId="8" xfId="0" applyFont="1" applyFill="1" applyBorder="1" applyAlignment="1">
      <alignment horizontal="left" vertical="justify" wrapText="1"/>
    </xf>
    <xf numFmtId="231" fontId="110" fillId="31" borderId="8" xfId="0" applyNumberFormat="1" applyFont="1" applyFill="1" applyBorder="1" applyAlignment="1">
      <alignment/>
    </xf>
    <xf numFmtId="0" fontId="109" fillId="31" borderId="8" xfId="0" applyFont="1" applyFill="1" applyBorder="1" applyAlignment="1">
      <alignment horizontal="left" vertical="center" wrapText="1"/>
    </xf>
    <xf numFmtId="231" fontId="0" fillId="0" borderId="0" xfId="0" applyNumberFormat="1" applyBorder="1" applyAlignment="1">
      <alignment/>
    </xf>
    <xf numFmtId="231" fontId="0" fillId="0" borderId="0" xfId="0" applyNumberFormat="1" applyAlignment="1">
      <alignment/>
    </xf>
    <xf numFmtId="0" fontId="109" fillId="31" borderId="8" xfId="0" applyFont="1" applyFill="1" applyBorder="1" applyAlignment="1">
      <alignment horizontal="left" vertical="justify"/>
    </xf>
    <xf numFmtId="231" fontId="110" fillId="0" borderId="0" xfId="0" applyNumberFormat="1" applyFont="1" applyBorder="1" applyAlignment="1">
      <alignment/>
    </xf>
    <xf numFmtId="0" fontId="108" fillId="31" borderId="8" xfId="0" applyFont="1" applyFill="1" applyBorder="1" applyAlignment="1">
      <alignment horizontal="left" vertical="justify"/>
    </xf>
    <xf numFmtId="178" fontId="110" fillId="31" borderId="8" xfId="0" applyNumberFormat="1" applyFont="1" applyFill="1" applyBorder="1" applyAlignment="1">
      <alignment/>
    </xf>
    <xf numFmtId="0" fontId="108" fillId="35" borderId="8" xfId="0" applyFont="1" applyFill="1" applyBorder="1" applyAlignment="1">
      <alignment horizontal="left" vertical="justify"/>
    </xf>
    <xf numFmtId="212" fontId="110" fillId="35" borderId="8" xfId="0" applyNumberFormat="1" applyFont="1" applyFill="1" applyBorder="1" applyAlignment="1">
      <alignment/>
    </xf>
    <xf numFmtId="173" fontId="110" fillId="35" borderId="8" xfId="0" applyNumberFormat="1" applyFont="1" applyFill="1" applyBorder="1" applyAlignment="1">
      <alignment/>
    </xf>
    <xf numFmtId="231" fontId="110" fillId="35" borderId="8" xfId="0" applyNumberFormat="1" applyFont="1" applyFill="1" applyBorder="1" applyAlignment="1">
      <alignment/>
    </xf>
    <xf numFmtId="231" fontId="110" fillId="0" borderId="78" xfId="0" applyNumberFormat="1" applyFont="1" applyFill="1" applyBorder="1" applyAlignment="1">
      <alignment/>
    </xf>
    <xf numFmtId="0" fontId="111" fillId="0" borderId="0" xfId="0" applyFont="1" applyAlignment="1">
      <alignment/>
    </xf>
    <xf numFmtId="0" fontId="93" fillId="0" borderId="0" xfId="0" applyFont="1" applyAlignment="1">
      <alignment/>
    </xf>
    <xf numFmtId="0" fontId="70" fillId="0" borderId="0" xfId="0" applyFont="1" applyFill="1" applyAlignment="1">
      <alignment/>
    </xf>
    <xf numFmtId="0" fontId="7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178" fontId="0" fillId="0" borderId="0" xfId="0" applyNumberFormat="1" applyAlignment="1">
      <alignment/>
    </xf>
    <xf numFmtId="4" fontId="0" fillId="0" borderId="8" xfId="0" applyNumberFormat="1" applyBorder="1" applyAlignment="1">
      <alignment/>
    </xf>
    <xf numFmtId="10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0" fontId="112" fillId="0" borderId="0" xfId="0" applyFont="1" applyAlignment="1">
      <alignment/>
    </xf>
    <xf numFmtId="2" fontId="73" fillId="0" borderId="0" xfId="0" applyNumberFormat="1" applyFont="1" applyAlignment="1">
      <alignment/>
    </xf>
    <xf numFmtId="2" fontId="73" fillId="0" borderId="0" xfId="0" applyNumberFormat="1" applyFont="1" applyFill="1" applyAlignment="1">
      <alignment/>
    </xf>
    <xf numFmtId="2" fontId="111" fillId="0" borderId="0" xfId="0" applyNumberFormat="1" applyFont="1" applyAlignment="1">
      <alignment/>
    </xf>
    <xf numFmtId="2" fontId="111" fillId="0" borderId="0" xfId="0" applyNumberFormat="1" applyFont="1" applyFill="1" applyAlignment="1">
      <alignment/>
    </xf>
    <xf numFmtId="2" fontId="109" fillId="0" borderId="0" xfId="0" applyNumberFormat="1" applyFont="1" applyFill="1" applyAlignment="1">
      <alignment/>
    </xf>
    <xf numFmtId="2" fontId="108" fillId="0" borderId="0" xfId="0" applyNumberFormat="1" applyFont="1" applyFill="1" applyAlignment="1">
      <alignment/>
    </xf>
    <xf numFmtId="2" fontId="111" fillId="0" borderId="0" xfId="0" applyNumberFormat="1" applyFont="1" applyFill="1" applyBorder="1" applyAlignment="1">
      <alignment/>
    </xf>
    <xf numFmtId="0" fontId="113" fillId="0" borderId="0" xfId="0" applyFont="1" applyFill="1" applyAlignment="1">
      <alignment/>
    </xf>
    <xf numFmtId="0" fontId="111" fillId="0" borderId="0" xfId="0" applyFont="1" applyFill="1" applyAlignment="1">
      <alignment/>
    </xf>
    <xf numFmtId="2" fontId="111" fillId="0" borderId="0" xfId="0" applyNumberFormat="1" applyFont="1" applyFill="1" applyBorder="1" applyAlignment="1" applyProtection="1">
      <alignment horizontal="center" vertical="center" wrapText="1"/>
      <protection/>
    </xf>
    <xf numFmtId="0" fontId="109" fillId="0" borderId="8" xfId="0" applyFont="1" applyFill="1" applyBorder="1" applyAlignment="1">
      <alignment horizontal="center" vertical="center"/>
    </xf>
    <xf numFmtId="4" fontId="9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3" fillId="0" borderId="16" xfId="0" applyFont="1" applyFill="1" applyBorder="1" applyAlignment="1">
      <alignment horizontal="center" vertical="center"/>
    </xf>
    <xf numFmtId="0" fontId="93" fillId="0" borderId="8" xfId="0" applyFont="1" applyFill="1" applyBorder="1" applyAlignment="1">
      <alignment vertical="center"/>
    </xf>
    <xf numFmtId="4" fontId="93" fillId="0" borderId="8" xfId="0" applyNumberFormat="1" applyFont="1" applyFill="1" applyBorder="1" applyAlignment="1">
      <alignment horizontal="right" vertical="center"/>
    </xf>
    <xf numFmtId="0" fontId="114" fillId="0" borderId="8" xfId="0" applyFont="1" applyFill="1" applyBorder="1" applyAlignment="1">
      <alignment vertical="center"/>
    </xf>
    <xf numFmtId="0" fontId="115" fillId="0" borderId="8" xfId="0" applyFont="1" applyFill="1" applyBorder="1" applyAlignment="1">
      <alignment vertical="center"/>
    </xf>
    <xf numFmtId="0" fontId="93" fillId="0" borderId="18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left" vertical="justify"/>
    </xf>
    <xf numFmtId="4" fontId="93" fillId="0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93" fillId="0" borderId="0" xfId="0" applyNumberFormat="1" applyFont="1" applyFill="1" applyAlignment="1">
      <alignment vertical="center" wrapText="1"/>
    </xf>
    <xf numFmtId="0" fontId="109" fillId="0" borderId="0" xfId="0" applyFont="1" applyAlignment="1">
      <alignment horizontal="center"/>
    </xf>
    <xf numFmtId="2" fontId="93" fillId="0" borderId="8" xfId="0" applyNumberFormat="1" applyFont="1" applyFill="1" applyBorder="1" applyAlignment="1">
      <alignment horizontal="center" vertical="top" wrapText="1"/>
    </xf>
    <xf numFmtId="4" fontId="93" fillId="0" borderId="8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2" fontId="93" fillId="0" borderId="8" xfId="0" applyNumberFormat="1" applyFont="1" applyFill="1" applyBorder="1" applyAlignment="1">
      <alignment horizontal="center" vertical="center" wrapText="1"/>
    </xf>
    <xf numFmtId="2" fontId="93" fillId="0" borderId="8" xfId="0" applyNumberFormat="1" applyFont="1" applyFill="1" applyBorder="1" applyAlignment="1">
      <alignment vertical="top" wrapText="1"/>
    </xf>
    <xf numFmtId="10" fontId="93" fillId="0" borderId="8" xfId="0" applyNumberFormat="1" applyFont="1" applyFill="1" applyBorder="1" applyAlignment="1">
      <alignment horizontal="center" vertical="center"/>
    </xf>
    <xf numFmtId="10" fontId="73" fillId="0" borderId="0" xfId="0" applyNumberFormat="1" applyFont="1" applyAlignment="1">
      <alignment/>
    </xf>
    <xf numFmtId="178" fontId="93" fillId="0" borderId="8" xfId="0" applyNumberFormat="1" applyFont="1" applyFill="1" applyBorder="1" applyAlignment="1">
      <alignment horizontal="center" vertical="center"/>
    </xf>
    <xf numFmtId="178" fontId="73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2" fontId="93" fillId="0" borderId="0" xfId="0" applyNumberFormat="1" applyFont="1" applyFill="1" applyAlignment="1">
      <alignment vertical="top" wrapText="1"/>
    </xf>
    <xf numFmtId="4" fontId="24" fillId="0" borderId="0" xfId="0" applyNumberFormat="1" applyFont="1" applyAlignment="1">
      <alignment horizontal="center" vertical="center"/>
    </xf>
    <xf numFmtId="2" fontId="93" fillId="0" borderId="0" xfId="0" applyNumberFormat="1" applyFont="1" applyAlignment="1">
      <alignment vertical="top" wrapText="1"/>
    </xf>
    <xf numFmtId="2" fontId="24" fillId="0" borderId="0" xfId="0" applyNumberFormat="1" applyFont="1" applyAlignment="1">
      <alignment vertical="top" wrapText="1"/>
    </xf>
    <xf numFmtId="10" fontId="93" fillId="0" borderId="8" xfId="0" applyNumberFormat="1" applyFont="1" applyFill="1" applyBorder="1" applyAlignment="1">
      <alignment horizontal="center" vertical="center" wrapText="1"/>
    </xf>
    <xf numFmtId="178" fontId="91" fillId="0" borderId="8" xfId="88" applyNumberFormat="1" applyFont="1" applyFill="1" applyBorder="1" applyAlignment="1">
      <alignment horizontal="center" vertical="center"/>
    </xf>
    <xf numFmtId="0" fontId="73" fillId="0" borderId="32" xfId="0" applyFont="1" applyBorder="1" applyAlignment="1" applyProtection="1">
      <alignment horizontal="center" vertical="center" wrapText="1" shrinkToFit="1"/>
      <protection/>
    </xf>
    <xf numFmtId="0" fontId="73" fillId="0" borderId="38" xfId="0" applyFont="1" applyFill="1" applyBorder="1" applyAlignment="1" applyProtection="1">
      <alignment horizontal="center" vertical="center" wrapText="1" shrinkToFit="1"/>
      <protection/>
    </xf>
    <xf numFmtId="0" fontId="73" fillId="0" borderId="85" xfId="0" applyFont="1" applyBorder="1" applyAlignment="1" applyProtection="1">
      <alignment horizontal="center" vertical="center" wrapText="1" shrinkToFit="1"/>
      <protection/>
    </xf>
    <xf numFmtId="49" fontId="73" fillId="0" borderId="85" xfId="0" applyNumberFormat="1" applyFont="1" applyBorder="1" applyAlignment="1" applyProtection="1">
      <alignment horizontal="left" vertical="center" wrapText="1" shrinkToFit="1"/>
      <protection/>
    </xf>
    <xf numFmtId="0" fontId="73" fillId="0" borderId="85" xfId="0" applyFont="1" applyBorder="1" applyAlignment="1">
      <alignment/>
    </xf>
    <xf numFmtId="49" fontId="73" fillId="0" borderId="33" xfId="0" applyNumberFormat="1" applyFont="1" applyBorder="1" applyAlignment="1" applyProtection="1">
      <alignment horizontal="center" vertical="center" wrapText="1" shrinkToFit="1"/>
      <protection/>
    </xf>
    <xf numFmtId="49" fontId="73" fillId="0" borderId="33" xfId="0" applyNumberFormat="1" applyFont="1" applyBorder="1" applyAlignment="1" applyProtection="1">
      <alignment horizontal="left" vertical="center" wrapText="1" shrinkToFit="1"/>
      <protection/>
    </xf>
    <xf numFmtId="0" fontId="87" fillId="0" borderId="33" xfId="0" applyFont="1" applyBorder="1" applyAlignment="1">
      <alignment/>
    </xf>
    <xf numFmtId="0" fontId="73" fillId="0" borderId="33" xfId="0" applyFont="1" applyBorder="1" applyAlignment="1">
      <alignment/>
    </xf>
    <xf numFmtId="10" fontId="0" fillId="0" borderId="8" xfId="0" applyNumberFormat="1" applyBorder="1" applyAlignment="1">
      <alignment/>
    </xf>
    <xf numFmtId="49" fontId="73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73" fillId="0" borderId="33" xfId="0" applyNumberFormat="1" applyFont="1" applyFill="1" applyBorder="1" applyAlignment="1" applyProtection="1">
      <alignment horizontal="left" vertical="center" wrapText="1" shrinkToFit="1"/>
      <protection/>
    </xf>
    <xf numFmtId="10" fontId="73" fillId="0" borderId="33" xfId="0" applyNumberFormat="1" applyFont="1" applyFill="1" applyBorder="1" applyAlignment="1" applyProtection="1">
      <alignment horizontal="center" vertical="center"/>
      <protection/>
    </xf>
    <xf numFmtId="176" fontId="73" fillId="0" borderId="33" xfId="0" applyNumberFormat="1" applyFont="1" applyFill="1" applyBorder="1" applyAlignment="1" applyProtection="1">
      <alignment horizontal="center" vertical="center"/>
      <protection locked="0"/>
    </xf>
    <xf numFmtId="0" fontId="73" fillId="0" borderId="33" xfId="0" applyFont="1" applyFill="1" applyBorder="1" applyAlignment="1">
      <alignment horizontal="center" vertical="center"/>
    </xf>
    <xf numFmtId="49" fontId="73" fillId="0" borderId="70" xfId="0" applyNumberFormat="1" applyFont="1" applyFill="1" applyBorder="1" applyAlignment="1" applyProtection="1">
      <alignment horizontal="center" vertical="center" wrapText="1" shrinkToFit="1"/>
      <protection/>
    </xf>
    <xf numFmtId="49" fontId="73" fillId="0" borderId="70" xfId="0" applyNumberFormat="1" applyFont="1" applyFill="1" applyBorder="1" applyAlignment="1" applyProtection="1">
      <alignment horizontal="left" vertical="center" wrapText="1" shrinkToFit="1"/>
      <protection/>
    </xf>
    <xf numFmtId="0" fontId="118" fillId="0" borderId="70" xfId="0" applyFont="1" applyBorder="1" applyAlignment="1">
      <alignment horizontal="center" vertical="center"/>
    </xf>
    <xf numFmtId="49" fontId="109" fillId="0" borderId="32" xfId="0" applyNumberFormat="1" applyFont="1" applyFill="1" applyBorder="1" applyAlignment="1" applyProtection="1">
      <alignment horizontal="center" vertical="center" wrapText="1" shrinkToFit="1"/>
      <protection/>
    </xf>
    <xf numFmtId="49" fontId="109" fillId="0" borderId="32" xfId="0" applyNumberFormat="1" applyFont="1" applyFill="1" applyBorder="1" applyAlignment="1" applyProtection="1">
      <alignment horizontal="left" vertical="center" wrapText="1" shrinkToFit="1"/>
      <protection/>
    </xf>
    <xf numFmtId="0" fontId="109" fillId="0" borderId="32" xfId="0" applyFont="1" applyBorder="1" applyAlignment="1">
      <alignment/>
    </xf>
    <xf numFmtId="2" fontId="109" fillId="0" borderId="32" xfId="0" applyNumberFormat="1" applyFont="1" applyFill="1" applyBorder="1" applyAlignment="1">
      <alignment horizontal="center" vertical="center"/>
    </xf>
    <xf numFmtId="0" fontId="73" fillId="0" borderId="85" xfId="0" applyFont="1" applyFill="1" applyBorder="1" applyAlignment="1">
      <alignment horizontal="center" vertical="center"/>
    </xf>
    <xf numFmtId="4" fontId="73" fillId="0" borderId="70" xfId="0" applyNumberFormat="1" applyFont="1" applyFill="1" applyBorder="1" applyAlignment="1">
      <alignment horizontal="center" vertical="center"/>
    </xf>
    <xf numFmtId="0" fontId="126" fillId="0" borderId="8" xfId="0" applyFont="1" applyFill="1" applyBorder="1" applyAlignment="1">
      <alignment vertical="center"/>
    </xf>
    <xf numFmtId="4" fontId="127" fillId="0" borderId="8" xfId="0" applyNumberFormat="1" applyFont="1" applyFill="1" applyBorder="1" applyAlignment="1">
      <alignment horizontal="right" vertical="center"/>
    </xf>
    <xf numFmtId="4" fontId="12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27" fillId="0" borderId="16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top" wrapText="1"/>
    </xf>
    <xf numFmtId="2" fontId="93" fillId="0" borderId="8" xfId="0" applyNumberFormat="1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176" fontId="73" fillId="0" borderId="0" xfId="0" applyNumberFormat="1" applyFont="1" applyFill="1" applyBorder="1" applyAlignment="1" applyProtection="1">
      <alignment horizontal="center" vertical="center"/>
      <protection locked="0"/>
    </xf>
    <xf numFmtId="9" fontId="73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73" fillId="0" borderId="22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2" fontId="108" fillId="0" borderId="0" xfId="0" applyNumberFormat="1" applyFont="1" applyBorder="1" applyAlignment="1">
      <alignment vertical="justify"/>
    </xf>
    <xf numFmtId="223" fontId="110" fillId="35" borderId="8" xfId="0" applyNumberFormat="1" applyFont="1" applyFill="1" applyBorder="1" applyAlignment="1">
      <alignment/>
    </xf>
    <xf numFmtId="0" fontId="111" fillId="0" borderId="25" xfId="0" applyFont="1" applyBorder="1" applyAlignment="1">
      <alignment vertical="center" wrapText="1"/>
    </xf>
    <xf numFmtId="4" fontId="93" fillId="0" borderId="8" xfId="0" applyNumberFormat="1" applyFont="1" applyFill="1" applyBorder="1" applyAlignment="1">
      <alignment horizontal="center" vertical="justify"/>
    </xf>
    <xf numFmtId="0" fontId="72" fillId="0" borderId="8" xfId="0" applyFont="1" applyFill="1" applyBorder="1" applyAlignment="1">
      <alignment horizontal="center" vertical="center"/>
    </xf>
    <xf numFmtId="4" fontId="93" fillId="0" borderId="8" xfId="0" applyNumberFormat="1" applyFont="1" applyFill="1" applyBorder="1" applyAlignment="1">
      <alignment horizontal="center" vertical="center"/>
    </xf>
    <xf numFmtId="2" fontId="93" fillId="0" borderId="8" xfId="0" applyNumberFormat="1" applyFont="1" applyFill="1" applyBorder="1" applyAlignment="1">
      <alignment horizontal="center" vertical="center"/>
    </xf>
    <xf numFmtId="0" fontId="93" fillId="0" borderId="84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0" fontId="93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3" fillId="0" borderId="40" xfId="0" applyFont="1" applyFill="1" applyBorder="1" applyAlignment="1">
      <alignment horizontal="left" vertical="center" wrapText="1"/>
    </xf>
    <xf numFmtId="0" fontId="93" fillId="0" borderId="64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09" fillId="0" borderId="61" xfId="0" applyFont="1" applyFill="1" applyBorder="1" applyAlignment="1" applyProtection="1">
      <alignment horizontal="center" vertical="center" wrapText="1"/>
      <protection hidden="1" locked="0"/>
    </xf>
    <xf numFmtId="0" fontId="0" fillId="0" borderId="36" xfId="0" applyBorder="1" applyAlignment="1">
      <alignment/>
    </xf>
    <xf numFmtId="223" fontId="107" fillId="0" borderId="8" xfId="55" applyNumberFormat="1" applyFont="1" applyFill="1" applyBorder="1" applyAlignment="1" applyProtection="1">
      <alignment horizontal="center" vertical="center" wrapText="1"/>
      <protection locked="0"/>
    </xf>
    <xf numFmtId="4" fontId="87" fillId="0" borderId="8" xfId="55" applyNumberFormat="1" applyFont="1" applyFill="1" applyBorder="1" applyAlignment="1" applyProtection="1">
      <alignment horizontal="center" vertical="center" wrapText="1"/>
      <protection locked="0"/>
    </xf>
    <xf numFmtId="0" fontId="109" fillId="0" borderId="54" xfId="0" applyFont="1" applyFill="1" applyBorder="1" applyAlignment="1" applyProtection="1">
      <alignment vertical="center" wrapText="1"/>
      <protection hidden="1" locked="0"/>
    </xf>
    <xf numFmtId="0" fontId="109" fillId="0" borderId="36" xfId="0" applyFont="1" applyFill="1" applyBorder="1" applyAlignment="1" applyProtection="1">
      <alignment horizontal="center" vertical="center" wrapText="1"/>
      <protection hidden="1" locked="0"/>
    </xf>
    <xf numFmtId="0" fontId="73" fillId="0" borderId="36" xfId="0" applyFont="1" applyFill="1" applyBorder="1" applyAlignment="1" applyProtection="1">
      <alignment horizontal="center" vertical="center" wrapText="1" shrinkToFit="1"/>
      <protection/>
    </xf>
    <xf numFmtId="0" fontId="109" fillId="0" borderId="47" xfId="0" applyFont="1" applyFill="1" applyBorder="1" applyAlignment="1" applyProtection="1">
      <alignment horizontal="center" vertical="center" wrapText="1"/>
      <protection hidden="1" locked="0"/>
    </xf>
    <xf numFmtId="0" fontId="0" fillId="0" borderId="32" xfId="0" applyBorder="1" applyAlignment="1">
      <alignment/>
    </xf>
    <xf numFmtId="0" fontId="73" fillId="0" borderId="85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178" fontId="105" fillId="0" borderId="8" xfId="91" applyNumberFormat="1" applyFont="1" applyFill="1" applyBorder="1" applyAlignment="1">
      <alignment horizontal="center" vertical="center"/>
      <protection/>
    </xf>
    <xf numFmtId="0" fontId="88" fillId="0" borderId="0" xfId="65" applyFont="1" applyAlignment="1">
      <alignment horizontal="left"/>
      <protection/>
    </xf>
    <xf numFmtId="0" fontId="88" fillId="0" borderId="0" xfId="65" applyFont="1" applyFill="1" applyAlignment="1">
      <alignment horizontal="left"/>
      <protection/>
    </xf>
    <xf numFmtId="10" fontId="87" fillId="0" borderId="8" xfId="0" applyNumberFormat="1" applyFont="1" applyFill="1" applyBorder="1" applyAlignment="1">
      <alignment horizontal="center"/>
    </xf>
    <xf numFmtId="0" fontId="88" fillId="0" borderId="0" xfId="65" applyFont="1" applyFill="1" applyAlignment="1">
      <alignment/>
      <protection/>
    </xf>
    <xf numFmtId="0" fontId="89" fillId="0" borderId="0" xfId="55" applyFont="1" applyFill="1" applyBorder="1" applyAlignment="1">
      <alignment horizontal="center" vertical="center" wrapText="1"/>
      <protection/>
    </xf>
    <xf numFmtId="219" fontId="87" fillId="0" borderId="0" xfId="0" applyNumberFormat="1" applyFont="1" applyFill="1" applyBorder="1" applyAlignment="1" applyProtection="1">
      <alignment horizontal="center" vertical="center"/>
      <protection locked="0"/>
    </xf>
    <xf numFmtId="176" fontId="90" fillId="0" borderId="0" xfId="65" applyNumberFormat="1" applyFont="1" applyFill="1" applyBorder="1" applyAlignment="1" applyProtection="1">
      <alignment horizontal="center" vertical="center"/>
      <protection locked="0"/>
    </xf>
    <xf numFmtId="4" fontId="90" fillId="0" borderId="0" xfId="65" applyNumberFormat="1" applyFont="1" applyFill="1" applyBorder="1" applyAlignment="1" applyProtection="1">
      <alignment horizontal="center" vertical="center"/>
      <protection locked="0"/>
    </xf>
    <xf numFmtId="176" fontId="90" fillId="0" borderId="0" xfId="81" applyNumberFormat="1" applyFont="1" applyFill="1" applyBorder="1" applyAlignment="1">
      <alignment horizontal="center" vertical="center"/>
    </xf>
    <xf numFmtId="178" fontId="90" fillId="0" borderId="0" xfId="88" applyNumberFormat="1" applyFont="1" applyFill="1" applyBorder="1" applyAlignment="1" applyProtection="1">
      <alignment horizontal="center" vertical="center"/>
      <protection locked="0"/>
    </xf>
    <xf numFmtId="175" fontId="90" fillId="0" borderId="0" xfId="81" applyNumberFormat="1" applyFont="1" applyFill="1" applyBorder="1" applyAlignment="1">
      <alignment horizontal="center" vertical="center"/>
    </xf>
    <xf numFmtId="10" fontId="89" fillId="0" borderId="0" xfId="81" applyNumberFormat="1" applyFont="1" applyFill="1" applyBorder="1" applyAlignment="1">
      <alignment horizontal="center" vertical="center"/>
    </xf>
    <xf numFmtId="4" fontId="90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87" fillId="0" borderId="0" xfId="0" applyNumberFormat="1" applyFont="1" applyFill="1" applyBorder="1" applyAlignment="1">
      <alignment horizontal="center" vertical="center"/>
    </xf>
    <xf numFmtId="4" fontId="87" fillId="0" borderId="0" xfId="90" applyNumberFormat="1" applyFont="1" applyFill="1" applyBorder="1" applyAlignment="1" applyProtection="1">
      <alignment horizontal="center" vertical="center"/>
      <protection locked="0"/>
    </xf>
    <xf numFmtId="4" fontId="87" fillId="0" borderId="0" xfId="91" applyNumberFormat="1" applyFont="1" applyFill="1" applyBorder="1" applyAlignment="1" applyProtection="1">
      <alignment horizontal="center" vertical="center"/>
      <protection locked="0"/>
    </xf>
    <xf numFmtId="0" fontId="89" fillId="0" borderId="8" xfId="55" applyFont="1" applyFill="1" applyBorder="1" applyAlignment="1">
      <alignment horizontal="center" vertical="center" wrapText="1"/>
      <protection/>
    </xf>
    <xf numFmtId="219" fontId="87" fillId="0" borderId="8" xfId="0" applyNumberFormat="1" applyFont="1" applyFill="1" applyBorder="1" applyAlignment="1" applyProtection="1">
      <alignment horizontal="center" vertical="center"/>
      <protection locked="0"/>
    </xf>
    <xf numFmtId="0" fontId="90" fillId="0" borderId="8" xfId="65" applyFont="1" applyFill="1" applyBorder="1" applyAlignment="1">
      <alignment vertical="center"/>
      <protection/>
    </xf>
    <xf numFmtId="176" fontId="90" fillId="0" borderId="8" xfId="81" applyNumberFormat="1" applyFont="1" applyFill="1" applyBorder="1" applyAlignment="1" applyProtection="1">
      <alignment horizontal="center" vertical="center"/>
      <protection locked="0"/>
    </xf>
    <xf numFmtId="174" fontId="90" fillId="0" borderId="8" xfId="65" applyNumberFormat="1" applyFont="1" applyFill="1" applyBorder="1" applyAlignment="1" applyProtection="1">
      <alignment horizontal="center" vertical="center"/>
      <protection locked="0"/>
    </xf>
    <xf numFmtId="174" fontId="90" fillId="0" borderId="8" xfId="65" applyNumberFormat="1" applyFont="1" applyFill="1" applyBorder="1" applyAlignment="1">
      <alignment horizontal="center" vertical="center"/>
      <protection/>
    </xf>
    <xf numFmtId="174" fontId="90" fillId="0" borderId="8" xfId="81" applyNumberFormat="1" applyFont="1" applyFill="1" applyBorder="1" applyAlignment="1">
      <alignment horizontal="center" vertical="center"/>
    </xf>
    <xf numFmtId="174" fontId="87" fillId="0" borderId="8" xfId="65" applyNumberFormat="1" applyFont="1" applyFill="1" applyBorder="1" applyAlignment="1">
      <alignment horizontal="center" vertical="center"/>
      <protection/>
    </xf>
    <xf numFmtId="0" fontId="88" fillId="0" borderId="8" xfId="65" applyFont="1" applyFill="1" applyBorder="1" applyAlignment="1">
      <alignment horizontal="center" vertical="center"/>
      <protection/>
    </xf>
    <xf numFmtId="0" fontId="89" fillId="0" borderId="8" xfId="65" applyFont="1" applyFill="1" applyBorder="1" applyAlignment="1">
      <alignment horizontal="left" vertical="center" wrapText="1"/>
      <protection/>
    </xf>
    <xf numFmtId="0" fontId="87" fillId="0" borderId="8" xfId="65" applyFont="1" applyFill="1" applyBorder="1" applyAlignment="1">
      <alignment horizontal="center"/>
      <protection/>
    </xf>
    <xf numFmtId="0" fontId="88" fillId="0" borderId="8" xfId="65" applyFont="1" applyFill="1" applyBorder="1" applyAlignment="1">
      <alignment horizontal="left" wrapText="1"/>
      <protection/>
    </xf>
    <xf numFmtId="4" fontId="89" fillId="0" borderId="8" xfId="65" applyNumberFormat="1" applyFont="1" applyFill="1" applyBorder="1" applyAlignment="1" applyProtection="1">
      <alignment horizontal="center" vertical="center"/>
      <protection locked="0"/>
    </xf>
    <xf numFmtId="10" fontId="87" fillId="0" borderId="8" xfId="0" applyNumberFormat="1" applyFont="1" applyFill="1" applyBorder="1" applyAlignment="1">
      <alignment horizontal="center" vertical="center"/>
    </xf>
    <xf numFmtId="0" fontId="89" fillId="0" borderId="8" xfId="65" applyFont="1" applyFill="1" applyBorder="1" applyAlignment="1">
      <alignment horizontal="left" vertical="center"/>
      <protection/>
    </xf>
    <xf numFmtId="0" fontId="90" fillId="0" borderId="8" xfId="65" applyFont="1" applyFill="1" applyBorder="1" applyAlignment="1">
      <alignment horizontal="center" vertical="center" wrapText="1"/>
      <protection/>
    </xf>
    <xf numFmtId="175" fontId="89" fillId="0" borderId="8" xfId="65" applyNumberFormat="1" applyFont="1" applyFill="1" applyBorder="1" applyAlignment="1">
      <alignment horizontal="center" vertical="center" wrapText="1"/>
      <protection/>
    </xf>
    <xf numFmtId="223" fontId="88" fillId="0" borderId="8" xfId="91" applyNumberFormat="1" applyFont="1" applyFill="1" applyBorder="1" applyAlignment="1">
      <alignment horizontal="center" vertical="center"/>
      <protection/>
    </xf>
    <xf numFmtId="178" fontId="88" fillId="0" borderId="8" xfId="91" applyNumberFormat="1" applyFont="1" applyFill="1" applyBorder="1" applyAlignment="1">
      <alignment horizontal="center" vertical="center"/>
      <protection/>
    </xf>
    <xf numFmtId="49" fontId="89" fillId="0" borderId="8" xfId="55" applyNumberFormat="1" applyFont="1" applyFill="1" applyBorder="1" applyAlignment="1">
      <alignment horizontal="center" vertical="center" wrapText="1"/>
      <protection/>
    </xf>
    <xf numFmtId="49" fontId="88" fillId="0" borderId="8" xfId="65" applyNumberFormat="1" applyFont="1" applyFill="1" applyBorder="1" applyAlignment="1">
      <alignment horizontal="center" vertical="center"/>
      <protection/>
    </xf>
    <xf numFmtId="49" fontId="87" fillId="0" borderId="8" xfId="65" applyNumberFormat="1" applyFont="1" applyFill="1" applyBorder="1" applyAlignment="1">
      <alignment horizontal="center" vertical="center"/>
      <protection/>
    </xf>
    <xf numFmtId="0" fontId="88" fillId="0" borderId="8" xfId="0" applyFont="1" applyFill="1" applyBorder="1" applyAlignment="1">
      <alignment horizontal="center"/>
    </xf>
    <xf numFmtId="49" fontId="95" fillId="0" borderId="8" xfId="65" applyNumberFormat="1" applyFont="1" applyFill="1" applyBorder="1" applyAlignment="1">
      <alignment horizontal="right" vertical="center"/>
      <protection/>
    </xf>
    <xf numFmtId="49" fontId="87" fillId="0" borderId="8" xfId="55" applyNumberFormat="1" applyFont="1" applyFill="1" applyBorder="1" applyAlignment="1">
      <alignment horizontal="center" vertical="center" wrapText="1"/>
      <protection/>
    </xf>
    <xf numFmtId="0" fontId="92" fillId="0" borderId="8" xfId="55" applyFont="1" applyFill="1" applyBorder="1" applyAlignment="1">
      <alignment vertical="center" wrapText="1"/>
      <protection/>
    </xf>
    <xf numFmtId="49" fontId="87" fillId="0" borderId="8" xfId="65" applyNumberFormat="1" applyFont="1" applyFill="1" applyBorder="1" applyAlignment="1">
      <alignment horizontal="center"/>
      <protection/>
    </xf>
    <xf numFmtId="0" fontId="2" fillId="0" borderId="8" xfId="65" applyFont="1" applyFill="1" applyBorder="1" applyAlignment="1">
      <alignment vertical="center" wrapText="1"/>
      <protection/>
    </xf>
    <xf numFmtId="0" fontId="94" fillId="0" borderId="8" xfId="65" applyFont="1" applyFill="1" applyBorder="1" applyAlignment="1">
      <alignment vertical="top" wrapText="1"/>
      <protection/>
    </xf>
    <xf numFmtId="0" fontId="94" fillId="0" borderId="8" xfId="65" applyFont="1" applyFill="1" applyBorder="1" applyAlignment="1">
      <alignment vertical="center" wrapText="1"/>
      <protection/>
    </xf>
    <xf numFmtId="4" fontId="87" fillId="0" borderId="8" xfId="91" applyNumberFormat="1" applyFont="1" applyFill="1" applyBorder="1" applyAlignment="1" applyProtection="1">
      <alignment horizontal="center" vertical="center"/>
      <protection locked="0"/>
    </xf>
    <xf numFmtId="223" fontId="87" fillId="0" borderId="8" xfId="91" applyNumberFormat="1" applyFont="1" applyFill="1" applyBorder="1" applyAlignment="1" applyProtection="1">
      <alignment horizontal="center" vertical="center"/>
      <protection locked="0"/>
    </xf>
    <xf numFmtId="49" fontId="89" fillId="0" borderId="8" xfId="65" applyNumberFormat="1" applyFont="1" applyFill="1" applyBorder="1" applyAlignment="1">
      <alignment horizontal="right" vertical="center"/>
      <protection/>
    </xf>
    <xf numFmtId="4" fontId="88" fillId="0" borderId="8" xfId="91" applyNumberFormat="1" applyFont="1" applyFill="1" applyBorder="1" applyAlignment="1">
      <alignment horizontal="center" vertical="center"/>
      <protection/>
    </xf>
    <xf numFmtId="4" fontId="128" fillId="0" borderId="8" xfId="88" applyNumberFormat="1" applyFont="1" applyFill="1" applyBorder="1" applyAlignment="1">
      <alignment horizontal="center" vertical="center"/>
    </xf>
    <xf numFmtId="4" fontId="88" fillId="0" borderId="8" xfId="88" applyNumberFormat="1" applyFont="1" applyFill="1" applyBorder="1" applyAlignment="1">
      <alignment horizontal="center" vertical="center"/>
    </xf>
    <xf numFmtId="223" fontId="87" fillId="0" borderId="8" xfId="65" applyNumberFormat="1" applyFont="1" applyFill="1" applyBorder="1" applyAlignment="1" applyProtection="1">
      <alignment horizontal="center" vertical="center"/>
      <protection locked="0"/>
    </xf>
    <xf numFmtId="4" fontId="128" fillId="0" borderId="8" xfId="88" applyNumberFormat="1" applyFont="1" applyFill="1" applyBorder="1" applyAlignment="1" applyProtection="1">
      <alignment horizontal="center" vertical="center"/>
      <protection locked="0"/>
    </xf>
    <xf numFmtId="178" fontId="88" fillId="0" borderId="0" xfId="0" applyNumberFormat="1" applyFont="1" applyFill="1" applyBorder="1" applyAlignment="1">
      <alignment horizontal="center"/>
    </xf>
    <xf numFmtId="178" fontId="88" fillId="0" borderId="0" xfId="91" applyNumberFormat="1" applyFont="1" applyFill="1" applyBorder="1" applyAlignment="1">
      <alignment horizontal="center" vertical="center"/>
      <protection/>
    </xf>
    <xf numFmtId="223" fontId="87" fillId="0" borderId="0" xfId="90" applyNumberFormat="1" applyFont="1" applyFill="1" applyBorder="1" applyAlignment="1">
      <alignment horizontal="center" vertical="center"/>
      <protection/>
    </xf>
    <xf numFmtId="4" fontId="88" fillId="0" borderId="0" xfId="91" applyNumberFormat="1" applyFont="1" applyFill="1" applyBorder="1" applyAlignment="1">
      <alignment horizontal="center" vertical="center"/>
      <protection/>
    </xf>
    <xf numFmtId="0" fontId="88" fillId="0" borderId="8" xfId="65" applyFont="1" applyFill="1" applyBorder="1">
      <alignment/>
      <protection/>
    </xf>
    <xf numFmtId="0" fontId="87" fillId="0" borderId="8" xfId="65" applyFont="1" applyFill="1" applyBorder="1" applyAlignment="1">
      <alignment horizontal="center" vertical="center"/>
      <protection/>
    </xf>
    <xf numFmtId="0" fontId="88" fillId="0" borderId="8" xfId="65" applyFont="1" applyFill="1" applyBorder="1" applyAlignment="1">
      <alignment horizontal="left" vertical="center" wrapText="1"/>
      <protection/>
    </xf>
    <xf numFmtId="223" fontId="88" fillId="0" borderId="8" xfId="88" applyNumberFormat="1" applyFont="1" applyFill="1" applyBorder="1" applyAlignment="1">
      <alignment horizontal="center" vertical="center"/>
    </xf>
    <xf numFmtId="0" fontId="128" fillId="0" borderId="8" xfId="65" applyFont="1" applyFill="1" applyBorder="1" applyAlignment="1">
      <alignment horizontal="left" vertical="center"/>
      <protection/>
    </xf>
    <xf numFmtId="0" fontId="128" fillId="0" borderId="8" xfId="65" applyFont="1" applyFill="1" applyBorder="1" applyAlignment="1">
      <alignment horizontal="center" vertical="center"/>
      <protection/>
    </xf>
    <xf numFmtId="4" fontId="128" fillId="0" borderId="8" xfId="0" applyNumberFormat="1" applyFont="1" applyFill="1" applyBorder="1" applyAlignment="1">
      <alignment horizontal="center"/>
    </xf>
    <xf numFmtId="178" fontId="87" fillId="0" borderId="8" xfId="65" applyNumberFormat="1" applyFont="1" applyFill="1" applyBorder="1" applyAlignment="1" applyProtection="1">
      <alignment horizontal="center" vertical="center"/>
      <protection locked="0"/>
    </xf>
    <xf numFmtId="0" fontId="128" fillId="0" borderId="8" xfId="65" applyFont="1" applyFill="1" applyBorder="1" applyAlignment="1">
      <alignment horizontal="left" vertical="justify"/>
      <protection/>
    </xf>
    <xf numFmtId="0" fontId="93" fillId="0" borderId="0" xfId="0" applyFont="1" applyFill="1" applyBorder="1" applyAlignment="1">
      <alignment/>
    </xf>
    <xf numFmtId="178" fontId="93" fillId="0" borderId="0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/>
    </xf>
    <xf numFmtId="178" fontId="2" fillId="0" borderId="8" xfId="0" applyNumberFormat="1" applyFont="1" applyFill="1" applyBorder="1" applyAlignment="1">
      <alignment horizontal="center" vertical="top"/>
    </xf>
    <xf numFmtId="176" fontId="2" fillId="0" borderId="8" xfId="0" applyNumberFormat="1" applyFont="1" applyFill="1" applyBorder="1" applyAlignment="1">
      <alignment horizontal="center" vertical="top"/>
    </xf>
    <xf numFmtId="176" fontId="2" fillId="35" borderId="8" xfId="0" applyNumberFormat="1" applyFont="1" applyFill="1" applyBorder="1" applyAlignment="1">
      <alignment horizontal="center" vertical="top"/>
    </xf>
    <xf numFmtId="4" fontId="2" fillId="0" borderId="8" xfId="0" applyNumberFormat="1" applyFont="1" applyFill="1" applyBorder="1" applyAlignment="1">
      <alignment horizontal="center" vertical="top"/>
    </xf>
    <xf numFmtId="10" fontId="2" fillId="0" borderId="8" xfId="0" applyNumberFormat="1" applyFont="1" applyFill="1" applyBorder="1" applyAlignment="1">
      <alignment horizontal="center" vertical="top"/>
    </xf>
    <xf numFmtId="174" fontId="62" fillId="0" borderId="0" xfId="0" applyNumberFormat="1" applyFont="1" applyBorder="1" applyAlignment="1">
      <alignment/>
    </xf>
    <xf numFmtId="174" fontId="62" fillId="41" borderId="0" xfId="0" applyNumberFormat="1" applyFont="1" applyFill="1" applyBorder="1" applyAlignment="1">
      <alignment/>
    </xf>
    <xf numFmtId="174" fontId="104" fillId="37" borderId="0" xfId="0" applyNumberFormat="1" applyFont="1" applyFill="1" applyBorder="1" applyAlignment="1">
      <alignment/>
    </xf>
    <xf numFmtId="174" fontId="88" fillId="29" borderId="0" xfId="0" applyNumberFormat="1" applyFont="1" applyFill="1" applyBorder="1" applyAlignment="1">
      <alignment/>
    </xf>
    <xf numFmtId="10" fontId="90" fillId="0" borderId="0" xfId="81" applyNumberFormat="1" applyFont="1" applyFill="1" applyBorder="1" applyAlignment="1">
      <alignment horizontal="center" vertical="center"/>
    </xf>
    <xf numFmtId="176" fontId="90" fillId="0" borderId="0" xfId="81" applyNumberFormat="1" applyFont="1" applyFill="1" applyBorder="1" applyAlignment="1" applyProtection="1">
      <alignment horizontal="center" vertical="center"/>
      <protection locked="0"/>
    </xf>
    <xf numFmtId="175" fontId="90" fillId="0" borderId="0" xfId="65" applyNumberFormat="1" applyFont="1" applyFill="1" applyBorder="1" applyAlignment="1" applyProtection="1">
      <alignment horizontal="center" vertical="center"/>
      <protection locked="0"/>
    </xf>
    <xf numFmtId="2" fontId="87" fillId="0" borderId="0" xfId="0" applyNumberFormat="1" applyFont="1" applyFill="1" applyBorder="1" applyAlignment="1">
      <alignment horizontal="center" vertical="center"/>
    </xf>
    <xf numFmtId="176" fontId="89" fillId="0" borderId="0" xfId="81" applyNumberFormat="1" applyFont="1" applyFill="1" applyBorder="1" applyAlignment="1" applyProtection="1">
      <alignment horizontal="center" vertical="center" wrapText="1"/>
      <protection locked="0"/>
    </xf>
    <xf numFmtId="178" fontId="105" fillId="0" borderId="0" xfId="91" applyNumberFormat="1" applyFont="1" applyFill="1" applyBorder="1" applyAlignment="1">
      <alignment horizontal="center" vertical="center"/>
      <protection/>
    </xf>
    <xf numFmtId="4" fontId="90" fillId="0" borderId="0" xfId="90" applyNumberFormat="1" applyFont="1" applyFill="1" applyBorder="1" applyAlignment="1">
      <alignment horizontal="center" vertical="center"/>
      <protection/>
    </xf>
    <xf numFmtId="4" fontId="87" fillId="0" borderId="0" xfId="0" applyNumberFormat="1" applyFont="1" applyFill="1" applyBorder="1" applyAlignment="1">
      <alignment horizontal="center"/>
    </xf>
    <xf numFmtId="4" fontId="106" fillId="0" borderId="0" xfId="91" applyNumberFormat="1" applyFont="1" applyFill="1" applyBorder="1" applyAlignment="1">
      <alignment horizontal="center" vertical="center"/>
      <protection/>
    </xf>
    <xf numFmtId="49" fontId="87" fillId="0" borderId="0" xfId="71" applyFont="1" applyFill="1" applyBorder="1">
      <alignment vertical="top"/>
      <protection/>
    </xf>
    <xf numFmtId="10" fontId="105" fillId="0" borderId="0" xfId="71" applyNumberFormat="1" applyFont="1" applyFill="1" applyBorder="1">
      <alignment vertical="top"/>
      <protection/>
    </xf>
    <xf numFmtId="0" fontId="89" fillId="0" borderId="8" xfId="65" applyFont="1" applyFill="1" applyBorder="1" applyAlignment="1">
      <alignment vertical="center" wrapText="1"/>
      <protection/>
    </xf>
    <xf numFmtId="0" fontId="87" fillId="0" borderId="0" xfId="0" applyFont="1" applyFill="1" applyBorder="1" applyAlignment="1">
      <alignment horizontal="center" vertical="center"/>
    </xf>
    <xf numFmtId="178" fontId="87" fillId="0" borderId="0" xfId="91" applyNumberFormat="1" applyFont="1" applyFill="1" applyBorder="1" applyAlignment="1">
      <alignment horizontal="center" vertical="center"/>
      <protection/>
    </xf>
    <xf numFmtId="10" fontId="90" fillId="0" borderId="8" xfId="65" applyNumberFormat="1" applyFont="1" applyFill="1" applyBorder="1" applyAlignment="1">
      <alignment horizontal="center" vertical="center"/>
      <protection/>
    </xf>
    <xf numFmtId="10" fontId="89" fillId="0" borderId="8" xfId="65" applyNumberFormat="1" applyFont="1" applyFill="1" applyBorder="1" applyAlignment="1">
      <alignment horizontal="center" vertical="center"/>
      <protection/>
    </xf>
    <xf numFmtId="0" fontId="90" fillId="0" borderId="27" xfId="65" applyFont="1" applyFill="1" applyBorder="1" applyAlignment="1">
      <alignment horizontal="center" vertical="top" wrapText="1"/>
      <protection/>
    </xf>
    <xf numFmtId="4" fontId="87" fillId="0" borderId="27" xfId="91" applyNumberFormat="1" applyFont="1" applyFill="1" applyBorder="1" applyAlignment="1" applyProtection="1">
      <alignment horizontal="center" vertical="center"/>
      <protection locked="0"/>
    </xf>
    <xf numFmtId="0" fontId="87" fillId="0" borderId="23" xfId="0" applyFont="1" applyFill="1" applyBorder="1" applyAlignment="1">
      <alignment/>
    </xf>
    <xf numFmtId="4" fontId="87" fillId="0" borderId="23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vertical="center"/>
    </xf>
    <xf numFmtId="4" fontId="93" fillId="0" borderId="20" xfId="0" applyNumberFormat="1" applyFont="1" applyFill="1" applyBorder="1" applyAlignment="1">
      <alignment horizontal="right" vertical="center"/>
    </xf>
    <xf numFmtId="0" fontId="87" fillId="0" borderId="0" xfId="65" applyFont="1" applyBorder="1" applyAlignment="1">
      <alignment horizontal="center"/>
      <protection/>
    </xf>
    <xf numFmtId="0" fontId="89" fillId="0" borderId="8" xfId="65" applyFont="1" applyFill="1" applyBorder="1" applyAlignment="1">
      <alignment horizontal="left" vertical="top" wrapText="1"/>
      <protection/>
    </xf>
    <xf numFmtId="0" fontId="88" fillId="0" borderId="42" xfId="65" applyFont="1" applyFill="1" applyBorder="1">
      <alignment/>
      <protection/>
    </xf>
    <xf numFmtId="0" fontId="88" fillId="0" borderId="39" xfId="65" applyFont="1" applyFill="1" applyBorder="1" applyAlignment="1">
      <alignment wrapText="1"/>
      <protection/>
    </xf>
    <xf numFmtId="0" fontId="87" fillId="0" borderId="39" xfId="65" applyFont="1" applyFill="1" applyBorder="1">
      <alignment/>
      <protection/>
    </xf>
    <xf numFmtId="178" fontId="88" fillId="0" borderId="39" xfId="65" applyNumberFormat="1" applyFont="1" applyFill="1" applyBorder="1" applyAlignment="1">
      <alignment horizontal="center" vertical="center"/>
      <protection/>
    </xf>
    <xf numFmtId="178" fontId="88" fillId="0" borderId="51" xfId="65" applyNumberFormat="1" applyFont="1" applyFill="1" applyBorder="1" applyAlignment="1">
      <alignment horizontal="center" vertical="center"/>
      <protection/>
    </xf>
    <xf numFmtId="0" fontId="121" fillId="0" borderId="8" xfId="75" applyFont="1" applyBorder="1" applyAlignment="1">
      <alignment horizontal="center" vertical="center"/>
      <protection/>
    </xf>
    <xf numFmtId="178" fontId="1" fillId="0" borderId="8" xfId="0" applyNumberFormat="1" applyFont="1" applyFill="1" applyBorder="1" applyAlignment="1">
      <alignment vertical="top" wrapText="1"/>
    </xf>
    <xf numFmtId="4" fontId="21" fillId="0" borderId="8" xfId="0" applyNumberFormat="1" applyFont="1" applyFill="1" applyBorder="1" applyAlignment="1">
      <alignment vertical="top" wrapText="1"/>
    </xf>
    <xf numFmtId="9" fontId="81" fillId="0" borderId="0" xfId="0" applyNumberFormat="1" applyFont="1" applyFill="1" applyBorder="1" applyAlignment="1">
      <alignment vertical="top" wrapText="1"/>
    </xf>
    <xf numFmtId="2" fontId="81" fillId="0" borderId="0" xfId="0" applyNumberFormat="1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 wrapText="1"/>
    </xf>
    <xf numFmtId="175" fontId="81" fillId="0" borderId="0" xfId="0" applyNumberFormat="1" applyFont="1" applyFill="1" applyBorder="1" applyAlignment="1">
      <alignment vertical="top" wrapText="1"/>
    </xf>
    <xf numFmtId="10" fontId="8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/>
    </xf>
    <xf numFmtId="2" fontId="28" fillId="0" borderId="0" xfId="0" applyNumberFormat="1" applyFont="1" applyFill="1" applyBorder="1" applyAlignment="1">
      <alignment vertical="top" wrapText="1"/>
    </xf>
    <xf numFmtId="2" fontId="24" fillId="0" borderId="0" xfId="0" applyNumberFormat="1" applyFont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31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" fontId="87" fillId="0" borderId="8" xfId="91" applyNumberFormat="1" applyFont="1" applyFill="1" applyBorder="1" applyAlignment="1">
      <alignment horizontal="center" vertical="center"/>
      <protection/>
    </xf>
    <xf numFmtId="4" fontId="89" fillId="0" borderId="8" xfId="91" applyNumberFormat="1" applyFont="1" applyFill="1" applyBorder="1" applyAlignment="1">
      <alignment horizontal="center" vertical="center"/>
      <protection/>
    </xf>
    <xf numFmtId="0" fontId="2" fillId="0" borderId="8" xfId="0" applyFont="1" applyFill="1" applyBorder="1" applyAlignment="1">
      <alignment vertical="center"/>
    </xf>
    <xf numFmtId="0" fontId="0" fillId="0" borderId="78" xfId="0" applyFill="1" applyBorder="1" applyAlignment="1">
      <alignment/>
    </xf>
    <xf numFmtId="0" fontId="72" fillId="0" borderId="0" xfId="0" applyFont="1" applyAlignment="1">
      <alignment/>
    </xf>
    <xf numFmtId="0" fontId="40" fillId="0" borderId="8" xfId="0" applyFont="1" applyBorder="1" applyAlignment="1">
      <alignment/>
    </xf>
    <xf numFmtId="0" fontId="88" fillId="0" borderId="8" xfId="0" applyFont="1" applyFill="1" applyBorder="1" applyAlignment="1">
      <alignment/>
    </xf>
    <xf numFmtId="0" fontId="93" fillId="0" borderId="0" xfId="0" applyFont="1" applyFill="1" applyBorder="1" applyAlignment="1">
      <alignment horizontal="center" vertical="center" wrapText="1"/>
    </xf>
    <xf numFmtId="174" fontId="110" fillId="35" borderId="8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justify" wrapText="1"/>
    </xf>
    <xf numFmtId="2" fontId="14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175" fontId="14" fillId="0" borderId="0" xfId="0" applyNumberFormat="1" applyFont="1" applyFill="1" applyBorder="1" applyAlignment="1">
      <alignment horizontal="right" vertical="center" wrapText="1"/>
    </xf>
    <xf numFmtId="175" fontId="14" fillId="0" borderId="0" xfId="0" applyNumberFormat="1" applyFont="1" applyFill="1" applyBorder="1" applyAlignment="1">
      <alignment horizontal="right" vertical="center" wrapText="1"/>
    </xf>
    <xf numFmtId="0" fontId="93" fillId="0" borderId="0" xfId="0" applyFont="1" applyBorder="1" applyAlignment="1">
      <alignment horizontal="center" vertical="center" wrapText="1"/>
    </xf>
    <xf numFmtId="4" fontId="9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/>
    </xf>
    <xf numFmtId="0" fontId="93" fillId="0" borderId="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92" fillId="0" borderId="29" xfId="65" applyFont="1" applyFill="1" applyBorder="1" applyAlignment="1">
      <alignment horizontal="left" vertical="center" wrapText="1"/>
      <protection/>
    </xf>
    <xf numFmtId="49" fontId="122" fillId="0" borderId="8" xfId="65" applyNumberFormat="1" applyFont="1" applyFill="1" applyBorder="1" applyAlignment="1">
      <alignment horizontal="center" vertical="center"/>
      <protection/>
    </xf>
    <xf numFmtId="0" fontId="123" fillId="0" borderId="8" xfId="65" applyFont="1" applyFill="1" applyBorder="1" applyAlignment="1">
      <alignment horizontal="left" vertical="center" wrapText="1"/>
      <protection/>
    </xf>
    <xf numFmtId="0" fontId="92" fillId="0" borderId="8" xfId="65" applyFont="1" applyFill="1" applyBorder="1" applyAlignment="1">
      <alignment horizontal="left" vertical="center" wrapText="1"/>
      <protection/>
    </xf>
    <xf numFmtId="10" fontId="73" fillId="0" borderId="33" xfId="0" applyNumberFormat="1" applyFont="1" applyFill="1" applyBorder="1" applyAlignment="1">
      <alignment horizontal="center" vertical="center"/>
    </xf>
    <xf numFmtId="0" fontId="124" fillId="0" borderId="32" xfId="0" applyFont="1" applyBorder="1" applyAlignment="1">
      <alignment horizontal="center" vertical="center"/>
    </xf>
    <xf numFmtId="0" fontId="124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8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4" xfId="0" applyNumberFormat="1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4" xfId="0" applyNumberFormat="1" applyFont="1" applyBorder="1" applyAlignment="1">
      <alignment horizontal="left" vertical="center"/>
    </xf>
    <xf numFmtId="0" fontId="68" fillId="0" borderId="44" xfId="0" applyFont="1" applyBorder="1" applyAlignment="1">
      <alignment horizontal="left"/>
    </xf>
    <xf numFmtId="0" fontId="68" fillId="0" borderId="0" xfId="0" applyNumberFormat="1" applyFont="1" applyAlignment="1">
      <alignment horizontal="center" vertical="center"/>
    </xf>
    <xf numFmtId="0" fontId="68" fillId="0" borderId="0" xfId="0" applyNumberFormat="1" applyFont="1" applyAlignment="1">
      <alignment horizontal="center" vertical="center" wrapText="1"/>
    </xf>
    <xf numFmtId="1" fontId="68" fillId="0" borderId="29" xfId="0" applyNumberFormat="1" applyFont="1" applyBorder="1" applyAlignment="1">
      <alignment horizontal="center" vertical="center"/>
    </xf>
    <xf numFmtId="1" fontId="68" fillId="0" borderId="8" xfId="0" applyNumberFormat="1" applyFont="1" applyBorder="1" applyAlignment="1">
      <alignment horizontal="center" vertical="center"/>
    </xf>
    <xf numFmtId="0" fontId="68" fillId="0" borderId="76" xfId="0" applyNumberFormat="1" applyFont="1" applyBorder="1" applyAlignment="1">
      <alignment horizontal="left" vertical="top" wrapText="1"/>
    </xf>
    <xf numFmtId="0" fontId="125" fillId="0" borderId="76" xfId="0" applyNumberFormat="1" applyFont="1" applyBorder="1" applyAlignment="1">
      <alignment horizontal="left" vertical="top" wrapText="1"/>
    </xf>
    <xf numFmtId="4" fontId="125" fillId="0" borderId="76" xfId="0" applyNumberFormat="1" applyFont="1" applyBorder="1" applyAlignment="1">
      <alignment horizontal="right" vertical="top" wrapText="1"/>
    </xf>
    <xf numFmtId="4" fontId="125" fillId="0" borderId="27" xfId="0" applyNumberFormat="1" applyFont="1" applyBorder="1" applyAlignment="1">
      <alignment horizontal="right" vertical="top" wrapText="1"/>
    </xf>
    <xf numFmtId="0" fontId="125" fillId="0" borderId="27" xfId="0" applyNumberFormat="1" applyFont="1" applyBorder="1" applyAlignment="1">
      <alignment horizontal="left" vertical="top" wrapText="1"/>
    </xf>
    <xf numFmtId="4" fontId="68" fillId="0" borderId="76" xfId="0" applyNumberFormat="1" applyFont="1" applyBorder="1" applyAlignment="1">
      <alignment horizontal="right" vertical="top" wrapText="1"/>
    </xf>
    <xf numFmtId="3" fontId="68" fillId="0" borderId="76" xfId="0" applyNumberFormat="1" applyFont="1" applyBorder="1" applyAlignment="1">
      <alignment horizontal="right" vertical="top" wrapText="1"/>
    </xf>
    <xf numFmtId="0" fontId="68" fillId="0" borderId="27" xfId="0" applyNumberFormat="1" applyFont="1" applyBorder="1" applyAlignment="1">
      <alignment horizontal="right" vertical="top" wrapText="1"/>
    </xf>
    <xf numFmtId="4" fontId="68" fillId="0" borderId="27" xfId="0" applyNumberFormat="1" applyFont="1" applyBorder="1" applyAlignment="1">
      <alignment horizontal="right" vertical="top" wrapText="1"/>
    </xf>
    <xf numFmtId="2" fontId="68" fillId="0" borderId="27" xfId="0" applyNumberFormat="1" applyFont="1" applyBorder="1" applyAlignment="1">
      <alignment horizontal="right" vertical="top" wrapText="1"/>
    </xf>
    <xf numFmtId="0" fontId="68" fillId="0" borderId="76" xfId="0" applyNumberFormat="1" applyFont="1" applyBorder="1" applyAlignment="1">
      <alignment horizontal="right" vertical="top" wrapText="1"/>
    </xf>
    <xf numFmtId="1" fontId="68" fillId="0" borderId="76" xfId="0" applyNumberFormat="1" applyFont="1" applyBorder="1" applyAlignment="1">
      <alignment horizontal="right" vertical="top" wrapText="1"/>
    </xf>
    <xf numFmtId="0" fontId="68" fillId="0" borderId="76" xfId="0" applyNumberFormat="1" applyFont="1" applyFill="1" applyBorder="1" applyAlignment="1">
      <alignment horizontal="left" vertical="top" wrapText="1"/>
    </xf>
    <xf numFmtId="0" fontId="68" fillId="44" borderId="76" xfId="0" applyNumberFormat="1" applyFont="1" applyFill="1" applyBorder="1" applyAlignment="1">
      <alignment horizontal="left" vertical="top" wrapText="1"/>
    </xf>
    <xf numFmtId="1" fontId="68" fillId="0" borderId="76" xfId="0" applyNumberFormat="1" applyFont="1" applyFill="1" applyBorder="1" applyAlignment="1">
      <alignment horizontal="right" vertical="top" wrapText="1"/>
    </xf>
    <xf numFmtId="0" fontId="68" fillId="44" borderId="27" xfId="0" applyNumberFormat="1" applyFont="1" applyFill="1" applyBorder="1" applyAlignment="1">
      <alignment horizontal="right" vertical="top" wrapText="1"/>
    </xf>
    <xf numFmtId="2" fontId="68" fillId="0" borderId="76" xfId="0" applyNumberFormat="1" applyFont="1" applyBorder="1" applyAlignment="1">
      <alignment horizontal="right" vertical="top" wrapText="1"/>
    </xf>
    <xf numFmtId="2" fontId="68" fillId="44" borderId="27" xfId="0" applyNumberFormat="1" applyFont="1" applyFill="1" applyBorder="1" applyAlignment="1">
      <alignment horizontal="right" vertical="top" wrapText="1"/>
    </xf>
    <xf numFmtId="4" fontId="68" fillId="44" borderId="27" xfId="0" applyNumberFormat="1" applyFont="1" applyFill="1" applyBorder="1" applyAlignment="1">
      <alignment horizontal="right" vertical="top" wrapText="1"/>
    </xf>
    <xf numFmtId="0" fontId="68" fillId="0" borderId="79" xfId="0" applyFont="1" applyBorder="1" applyAlignment="1">
      <alignment horizontal="left"/>
    </xf>
    <xf numFmtId="0" fontId="125" fillId="0" borderId="79" xfId="0" applyNumberFormat="1" applyFont="1" applyBorder="1" applyAlignment="1">
      <alignment horizontal="right"/>
    </xf>
    <xf numFmtId="4" fontId="125" fillId="0" borderId="8" xfId="0" applyNumberFormat="1" applyFont="1" applyBorder="1" applyAlignment="1">
      <alignment horizontal="right" vertical="top" wrapText="1"/>
    </xf>
    <xf numFmtId="4" fontId="125" fillId="0" borderId="8" xfId="0" applyNumberFormat="1" applyFont="1" applyBorder="1" applyAlignment="1">
      <alignment horizontal="right"/>
    </xf>
    <xf numFmtId="0" fontId="125" fillId="0" borderId="8" xfId="0" applyNumberFormat="1" applyFont="1" applyBorder="1" applyAlignment="1">
      <alignment horizontal="right"/>
    </xf>
    <xf numFmtId="0" fontId="68" fillId="0" borderId="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 vertical="center"/>
    </xf>
    <xf numFmtId="0" fontId="68" fillId="0" borderId="79" xfId="0" applyNumberFormat="1" applyFont="1" applyBorder="1" applyAlignment="1">
      <alignment horizontal="center"/>
    </xf>
    <xf numFmtId="0" fontId="72" fillId="0" borderId="0" xfId="0" applyFont="1" applyAlignment="1">
      <alignment horizontal="right"/>
    </xf>
    <xf numFmtId="223" fontId="90" fillId="0" borderId="8" xfId="81" applyNumberFormat="1" applyFont="1" applyFill="1" applyBorder="1" applyAlignment="1">
      <alignment horizontal="center" vertical="center"/>
    </xf>
    <xf numFmtId="2" fontId="90" fillId="0" borderId="8" xfId="55" applyNumberFormat="1" applyFont="1" applyFill="1" applyBorder="1" applyAlignment="1" applyProtection="1">
      <alignment horizontal="center" vertical="center" wrapText="1"/>
      <protection locked="0"/>
    </xf>
    <xf numFmtId="2" fontId="87" fillId="0" borderId="8" xfId="90" applyNumberFormat="1" applyFont="1" applyFill="1" applyBorder="1" applyAlignment="1">
      <alignment horizontal="center" vertical="center"/>
      <protection/>
    </xf>
    <xf numFmtId="2" fontId="87" fillId="0" borderId="8" xfId="91" applyNumberFormat="1" applyFont="1" applyFill="1" applyBorder="1" applyAlignment="1">
      <alignment horizontal="center" vertical="center"/>
      <protection/>
    </xf>
    <xf numFmtId="2" fontId="87" fillId="0" borderId="8" xfId="90" applyNumberFormat="1" applyFont="1" applyFill="1" applyBorder="1" applyAlignment="1" applyProtection="1">
      <alignment horizontal="center" vertical="center"/>
      <protection locked="0"/>
    </xf>
    <xf numFmtId="2" fontId="87" fillId="0" borderId="8" xfId="91" applyNumberFormat="1" applyFont="1" applyFill="1" applyBorder="1" applyAlignment="1" applyProtection="1">
      <alignment horizontal="center" vertical="center"/>
      <protection locked="0"/>
    </xf>
    <xf numFmtId="178" fontId="128" fillId="0" borderId="8" xfId="81" applyNumberFormat="1" applyFont="1" applyFill="1" applyBorder="1" applyAlignment="1">
      <alignment horizontal="center" vertical="center"/>
    </xf>
    <xf numFmtId="4" fontId="90" fillId="0" borderId="8" xfId="91" applyNumberFormat="1" applyFont="1" applyFill="1" applyBorder="1" applyAlignment="1">
      <alignment horizontal="center" vertical="center"/>
      <protection/>
    </xf>
    <xf numFmtId="10" fontId="105" fillId="0" borderId="0" xfId="0" applyNumberFormat="1" applyFont="1" applyFill="1" applyBorder="1" applyAlignment="1">
      <alignment/>
    </xf>
    <xf numFmtId="0" fontId="161" fillId="0" borderId="0" xfId="65" applyFont="1" applyAlignment="1">
      <alignment horizontal="centerContinuous"/>
      <protection/>
    </xf>
    <xf numFmtId="49" fontId="162" fillId="0" borderId="0" xfId="71" applyFont="1">
      <alignment vertical="top"/>
      <protection/>
    </xf>
    <xf numFmtId="0" fontId="162" fillId="0" borderId="0" xfId="0" applyFont="1" applyBorder="1" applyAlignment="1">
      <alignment/>
    </xf>
    <xf numFmtId="0" fontId="162" fillId="0" borderId="0" xfId="0" applyFont="1" applyAlignment="1">
      <alignment horizontal="left"/>
    </xf>
    <xf numFmtId="0" fontId="162" fillId="0" borderId="0" xfId="0" applyFont="1" applyAlignment="1">
      <alignment/>
    </xf>
    <xf numFmtId="0" fontId="162" fillId="0" borderId="0" xfId="65" applyFont="1">
      <alignment/>
      <protection/>
    </xf>
    <xf numFmtId="0" fontId="162" fillId="0" borderId="0" xfId="65" applyFont="1" applyAlignment="1">
      <alignment horizontal="center"/>
      <protection/>
    </xf>
    <xf numFmtId="0" fontId="161" fillId="0" borderId="0" xfId="65" applyFont="1" applyAlignment="1">
      <alignment horizontal="left"/>
      <protection/>
    </xf>
    <xf numFmtId="0" fontId="162" fillId="0" borderId="0" xfId="65" applyFont="1" applyFill="1" applyBorder="1">
      <alignment/>
      <protection/>
    </xf>
    <xf numFmtId="49" fontId="162" fillId="0" borderId="0" xfId="71" applyFont="1" applyBorder="1">
      <alignment vertical="top"/>
      <protection/>
    </xf>
    <xf numFmtId="0" fontId="161" fillId="0" borderId="0" xfId="55" applyFont="1" applyFill="1" applyBorder="1" applyAlignment="1">
      <alignment horizontal="center" vertical="center" wrapText="1"/>
      <protection/>
    </xf>
    <xf numFmtId="219" fontId="162" fillId="0" borderId="0" xfId="0" applyNumberFormat="1" applyFont="1" applyFill="1" applyBorder="1" applyAlignment="1" applyProtection="1">
      <alignment horizontal="center" vertical="center"/>
      <protection locked="0"/>
    </xf>
    <xf numFmtId="176" fontId="162" fillId="0" borderId="0" xfId="65" applyNumberFormat="1" applyFont="1" applyFill="1" applyBorder="1" applyAlignment="1" applyProtection="1">
      <alignment horizontal="center" vertical="center"/>
      <protection locked="0"/>
    </xf>
    <xf numFmtId="4" fontId="162" fillId="0" borderId="0" xfId="65" applyNumberFormat="1" applyFont="1" applyFill="1" applyBorder="1" applyAlignment="1" applyProtection="1">
      <alignment horizontal="center" vertical="center"/>
      <protection locked="0"/>
    </xf>
    <xf numFmtId="0" fontId="162" fillId="0" borderId="0" xfId="65" applyFont="1" applyFill="1" applyBorder="1" applyAlignment="1">
      <alignment vertical="center"/>
      <protection/>
    </xf>
    <xf numFmtId="176" fontId="162" fillId="0" borderId="0" xfId="81" applyNumberFormat="1" applyFont="1" applyFill="1" applyBorder="1" applyAlignment="1">
      <alignment horizontal="center" vertical="center"/>
    </xf>
    <xf numFmtId="0" fontId="162" fillId="0" borderId="0" xfId="65" applyFont="1" applyFill="1">
      <alignment/>
      <protection/>
    </xf>
    <xf numFmtId="0" fontId="161" fillId="0" borderId="0" xfId="65" applyFont="1" applyFill="1" applyAlignment="1">
      <alignment horizontal="left"/>
      <protection/>
    </xf>
    <xf numFmtId="176" fontId="161" fillId="0" borderId="0" xfId="81" applyNumberFormat="1" applyFont="1" applyFill="1" applyBorder="1" applyAlignment="1" applyProtection="1">
      <alignment horizontal="center" vertical="center"/>
      <protection locked="0"/>
    </xf>
    <xf numFmtId="178" fontId="162" fillId="0" borderId="0" xfId="88" applyNumberFormat="1" applyFont="1" applyFill="1" applyBorder="1" applyAlignment="1" applyProtection="1">
      <alignment horizontal="center" vertical="center"/>
      <protection locked="0"/>
    </xf>
    <xf numFmtId="174" fontId="162" fillId="0" borderId="0" xfId="65" applyNumberFormat="1" applyFont="1" applyFill="1" applyBorder="1" applyAlignment="1">
      <alignment horizontal="center" vertical="center"/>
      <protection/>
    </xf>
    <xf numFmtId="175" fontId="162" fillId="0" borderId="0" xfId="81" applyNumberFormat="1" applyFont="1" applyFill="1" applyBorder="1" applyAlignment="1">
      <alignment horizontal="center" vertical="center"/>
    </xf>
    <xf numFmtId="0" fontId="162" fillId="0" borderId="0" xfId="65" applyFont="1" applyFill="1" applyBorder="1" applyAlignment="1">
      <alignment/>
      <protection/>
    </xf>
    <xf numFmtId="4" fontId="161" fillId="0" borderId="0" xfId="65" applyNumberFormat="1" applyFont="1" applyFill="1" applyBorder="1" applyAlignment="1" applyProtection="1">
      <alignment horizontal="center" vertical="center"/>
      <protection locked="0"/>
    </xf>
    <xf numFmtId="10" fontId="161" fillId="0" borderId="0" xfId="81" applyNumberFormat="1" applyFont="1" applyFill="1" applyBorder="1" applyAlignment="1">
      <alignment horizontal="center" vertical="center"/>
    </xf>
    <xf numFmtId="175" fontId="161" fillId="0" borderId="0" xfId="65" applyNumberFormat="1" applyFont="1" applyFill="1" applyBorder="1" applyAlignment="1">
      <alignment horizontal="center" vertical="center" wrapText="1"/>
      <protection/>
    </xf>
    <xf numFmtId="223" fontId="161" fillId="0" borderId="0" xfId="91" applyNumberFormat="1" applyFont="1" applyFill="1" applyBorder="1" applyAlignment="1">
      <alignment horizontal="center" vertical="center"/>
      <protection/>
    </xf>
    <xf numFmtId="223" fontId="162" fillId="0" borderId="0" xfId="91" applyNumberFormat="1" applyFont="1" applyFill="1" applyBorder="1" applyAlignment="1">
      <alignment horizontal="center" vertical="center"/>
      <protection/>
    </xf>
    <xf numFmtId="178" fontId="161" fillId="0" borderId="0" xfId="91" applyNumberFormat="1" applyFont="1" applyFill="1" applyBorder="1" applyAlignment="1">
      <alignment horizontal="center" vertical="center"/>
      <protection/>
    </xf>
    <xf numFmtId="0" fontId="145" fillId="0" borderId="0" xfId="0" applyFont="1" applyAlignment="1">
      <alignment/>
    </xf>
    <xf numFmtId="178" fontId="161" fillId="0" borderId="0" xfId="0" applyNumberFormat="1" applyFont="1" applyFill="1" applyBorder="1" applyAlignment="1">
      <alignment horizontal="center"/>
    </xf>
    <xf numFmtId="10" fontId="162" fillId="0" borderId="0" xfId="71" applyNumberFormat="1" applyFont="1" applyFill="1">
      <alignment vertical="top"/>
      <protection/>
    </xf>
    <xf numFmtId="4" fontId="162" fillId="0" borderId="0" xfId="55" applyNumberFormat="1" applyFont="1" applyFill="1" applyBorder="1" applyAlignment="1" applyProtection="1">
      <alignment horizontal="center" vertical="center" wrapText="1"/>
      <protection locked="0"/>
    </xf>
    <xf numFmtId="10" fontId="162" fillId="0" borderId="0" xfId="90" applyNumberFormat="1" applyFont="1" applyFill="1" applyBorder="1" applyAlignment="1">
      <alignment horizontal="center" vertical="center"/>
      <protection/>
    </xf>
    <xf numFmtId="223" fontId="162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162" fillId="0" borderId="0" xfId="0" applyNumberFormat="1" applyFont="1" applyFill="1" applyBorder="1" applyAlignment="1">
      <alignment horizontal="center" vertical="center"/>
    </xf>
    <xf numFmtId="223" fontId="162" fillId="0" borderId="0" xfId="90" applyNumberFormat="1" applyFont="1" applyFill="1" applyBorder="1" applyAlignment="1">
      <alignment horizontal="center" vertical="center"/>
      <protection/>
    </xf>
    <xf numFmtId="4" fontId="162" fillId="0" borderId="0" xfId="90" applyNumberFormat="1" applyFont="1" applyFill="1" applyBorder="1" applyAlignment="1" applyProtection="1">
      <alignment horizontal="center" vertical="center"/>
      <protection locked="0"/>
    </xf>
    <xf numFmtId="2" fontId="162" fillId="0" borderId="0" xfId="0" applyNumberFormat="1" applyFont="1" applyBorder="1" applyAlignment="1">
      <alignment horizontal="center" vertical="center"/>
    </xf>
    <xf numFmtId="4" fontId="162" fillId="0" borderId="0" xfId="91" applyNumberFormat="1" applyFont="1" applyFill="1" applyBorder="1" applyAlignment="1" applyProtection="1">
      <alignment horizontal="center" vertical="center"/>
      <protection locked="0"/>
    </xf>
    <xf numFmtId="4" fontId="161" fillId="0" borderId="0" xfId="91" applyNumberFormat="1" applyFont="1" applyFill="1" applyBorder="1" applyAlignment="1">
      <alignment horizontal="center" vertical="center"/>
      <protection/>
    </xf>
    <xf numFmtId="0" fontId="161" fillId="0" borderId="0" xfId="65" applyFont="1" applyFill="1" applyBorder="1" applyAlignment="1">
      <alignment horizontal="center" vertical="center"/>
      <protection/>
    </xf>
    <xf numFmtId="223" fontId="161" fillId="0" borderId="0" xfId="88" applyNumberFormat="1" applyFont="1" applyFill="1" applyBorder="1" applyAlignment="1">
      <alignment horizontal="center" vertical="center"/>
    </xf>
    <xf numFmtId="2" fontId="162" fillId="0" borderId="0" xfId="71" applyNumberFormat="1" applyFont="1">
      <alignment vertical="top"/>
      <protection/>
    </xf>
    <xf numFmtId="178" fontId="162" fillId="0" borderId="0" xfId="88" applyNumberFormat="1" applyFont="1" applyFill="1" applyBorder="1" applyAlignment="1">
      <alignment horizontal="center" vertical="center"/>
    </xf>
    <xf numFmtId="171" fontId="162" fillId="0" borderId="0" xfId="88" applyFont="1" applyBorder="1" applyAlignment="1">
      <alignment/>
    </xf>
    <xf numFmtId="171" fontId="162" fillId="0" borderId="0" xfId="0" applyNumberFormat="1" applyFont="1" applyAlignment="1">
      <alignment/>
    </xf>
    <xf numFmtId="4" fontId="162" fillId="0" borderId="0" xfId="88" applyNumberFormat="1" applyFont="1" applyFill="1" applyBorder="1" applyAlignment="1" applyProtection="1">
      <alignment horizontal="center" vertical="center"/>
      <protection locked="0"/>
    </xf>
    <xf numFmtId="4" fontId="162" fillId="0" borderId="0" xfId="88" applyNumberFormat="1" applyFont="1" applyFill="1" applyBorder="1" applyAlignment="1">
      <alignment horizontal="center" vertical="center"/>
    </xf>
    <xf numFmtId="4" fontId="161" fillId="0" borderId="0" xfId="88" applyNumberFormat="1" applyFont="1" applyFill="1" applyBorder="1" applyAlignment="1">
      <alignment horizontal="center" vertical="center"/>
    </xf>
    <xf numFmtId="223" fontId="162" fillId="0" borderId="0" xfId="65" applyNumberFormat="1" applyFont="1" applyFill="1" applyBorder="1" applyAlignment="1" applyProtection="1">
      <alignment horizontal="center" vertical="center"/>
      <protection locked="0"/>
    </xf>
    <xf numFmtId="10" fontId="162" fillId="0" borderId="0" xfId="65" applyNumberFormat="1" applyFont="1" applyFill="1" applyBorder="1" applyAlignment="1" applyProtection="1">
      <alignment horizontal="center" vertical="center"/>
      <protection locked="0"/>
    </xf>
    <xf numFmtId="10" fontId="161" fillId="0" borderId="0" xfId="88" applyNumberFormat="1" applyFont="1" applyFill="1" applyBorder="1" applyAlignment="1">
      <alignment horizontal="center" vertical="center"/>
    </xf>
    <xf numFmtId="0" fontId="162" fillId="0" borderId="0" xfId="0" applyFont="1" applyFill="1" applyAlignment="1">
      <alignment/>
    </xf>
    <xf numFmtId="0" fontId="1" fillId="0" borderId="5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8" fillId="0" borderId="0" xfId="67" applyFont="1" applyAlignment="1" applyProtection="1">
      <alignment horizontal="left" vertical="center" wrapText="1"/>
      <protection/>
    </xf>
    <xf numFmtId="0" fontId="101" fillId="44" borderId="96" xfId="67" applyFont="1" applyFill="1" applyBorder="1" applyAlignment="1" applyProtection="1">
      <alignment horizontal="center" vertical="center" wrapText="1"/>
      <protection/>
    </xf>
    <xf numFmtId="0" fontId="101" fillId="44" borderId="97" xfId="67" applyFont="1" applyFill="1" applyBorder="1" applyAlignment="1" applyProtection="1">
      <alignment horizontal="center" vertical="center" wrapText="1"/>
      <protection/>
    </xf>
    <xf numFmtId="0" fontId="101" fillId="44" borderId="98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Alignment="1" applyProtection="1">
      <alignment horizontal="left" vertical="center" wrapText="1"/>
      <protection/>
    </xf>
    <xf numFmtId="0" fontId="59" fillId="29" borderId="44" xfId="67" applyFont="1" applyFill="1" applyBorder="1" applyAlignment="1" applyProtection="1">
      <alignment horizontal="center" wrapText="1"/>
      <protection locked="0"/>
    </xf>
    <xf numFmtId="172" fontId="80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justify" wrapText="1"/>
    </xf>
    <xf numFmtId="0" fontId="22" fillId="0" borderId="16" xfId="0" applyFont="1" applyFill="1" applyBorder="1" applyAlignment="1">
      <alignment horizontal="left" vertical="justify" wrapText="1"/>
    </xf>
    <xf numFmtId="0" fontId="22" fillId="0" borderId="15" xfId="0" applyFont="1" applyFill="1" applyBorder="1" applyAlignment="1">
      <alignment horizontal="left" vertical="justify" wrapText="1"/>
    </xf>
    <xf numFmtId="0" fontId="22" fillId="0" borderId="17" xfId="0" applyFont="1" applyFill="1" applyBorder="1" applyAlignment="1">
      <alignment horizontal="left" vertical="justify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43" borderId="42" xfId="0" applyFont="1" applyFill="1" applyBorder="1" applyAlignment="1">
      <alignment horizontal="center" vertical="center" wrapText="1"/>
    </xf>
    <xf numFmtId="0" fontId="1" fillId="43" borderId="39" xfId="0" applyFont="1" applyFill="1" applyBorder="1" applyAlignment="1">
      <alignment horizontal="center" vertical="center" wrapText="1"/>
    </xf>
    <xf numFmtId="0" fontId="1" fillId="43" borderId="5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justify" wrapText="1"/>
    </xf>
    <xf numFmtId="0" fontId="23" fillId="0" borderId="55" xfId="0" applyFont="1" applyFill="1" applyBorder="1" applyAlignment="1">
      <alignment horizontal="left" vertical="justify" wrapText="1"/>
    </xf>
    <xf numFmtId="0" fontId="23" fillId="0" borderId="56" xfId="0" applyFont="1" applyFill="1" applyBorder="1" applyAlignment="1">
      <alignment horizontal="left" vertical="justify" wrapText="1"/>
    </xf>
    <xf numFmtId="0" fontId="23" fillId="0" borderId="57" xfId="0" applyFont="1" applyFill="1" applyBorder="1" applyAlignment="1">
      <alignment horizontal="left" vertical="justify" wrapText="1"/>
    </xf>
    <xf numFmtId="0" fontId="22" fillId="0" borderId="62" xfId="0" applyFont="1" applyFill="1" applyBorder="1" applyAlignment="1">
      <alignment horizontal="left" vertical="justify" wrapText="1"/>
    </xf>
    <xf numFmtId="0" fontId="23" fillId="0" borderId="14" xfId="0" applyFont="1" applyFill="1" applyBorder="1" applyAlignment="1">
      <alignment horizontal="left" vertical="justify" wrapText="1"/>
    </xf>
    <xf numFmtId="0" fontId="23" fillId="0" borderId="30" xfId="0" applyFont="1" applyFill="1" applyBorder="1" applyAlignment="1">
      <alignment horizontal="left" vertical="justify" wrapText="1"/>
    </xf>
    <xf numFmtId="0" fontId="23" fillId="0" borderId="40" xfId="0" applyFont="1" applyFill="1" applyBorder="1" applyAlignment="1">
      <alignment horizontal="left" vertical="justify" wrapText="1"/>
    </xf>
    <xf numFmtId="0" fontId="23" fillId="0" borderId="27" xfId="0" applyFont="1" applyFill="1" applyBorder="1" applyAlignment="1">
      <alignment horizontal="left" vertical="justify" wrapText="1"/>
    </xf>
    <xf numFmtId="0" fontId="23" fillId="0" borderId="76" xfId="0" applyFont="1" applyFill="1" applyBorder="1" applyAlignment="1">
      <alignment horizontal="left" vertical="justify" wrapText="1"/>
    </xf>
    <xf numFmtId="0" fontId="14" fillId="0" borderId="13" xfId="0" applyFont="1" applyFill="1" applyBorder="1" applyAlignment="1">
      <alignment horizontal="left" vertical="justify" wrapText="1"/>
    </xf>
    <xf numFmtId="0" fontId="14" fillId="0" borderId="16" xfId="0" applyFont="1" applyFill="1" applyBorder="1" applyAlignment="1">
      <alignment horizontal="left" vertical="justify" wrapText="1"/>
    </xf>
    <xf numFmtId="0" fontId="14" fillId="0" borderId="30" xfId="0" applyFont="1" applyFill="1" applyBorder="1" applyAlignment="1">
      <alignment horizontal="left" vertical="justify" wrapText="1"/>
    </xf>
    <xf numFmtId="0" fontId="14" fillId="0" borderId="29" xfId="0" applyFont="1" applyFill="1" applyBorder="1" applyAlignment="1">
      <alignment horizontal="left" vertical="justify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justify" wrapText="1"/>
    </xf>
    <xf numFmtId="0" fontId="24" fillId="0" borderId="26" xfId="0" applyFont="1" applyFill="1" applyBorder="1" applyAlignment="1">
      <alignment horizontal="left" vertical="justify" wrapText="1"/>
    </xf>
    <xf numFmtId="0" fontId="24" fillId="0" borderId="28" xfId="0" applyFont="1" applyFill="1" applyBorder="1" applyAlignment="1">
      <alignment horizontal="left" vertical="justify" wrapText="1"/>
    </xf>
    <xf numFmtId="0" fontId="24" fillId="0" borderId="14" xfId="0" applyFont="1" applyFill="1" applyBorder="1" applyAlignment="1">
      <alignment horizontal="left" vertical="justify" wrapText="1"/>
    </xf>
    <xf numFmtId="0" fontId="24" fillId="0" borderId="27" xfId="0" applyFont="1" applyFill="1" applyBorder="1" applyAlignment="1">
      <alignment horizontal="left" vertical="justify" wrapText="1"/>
    </xf>
    <xf numFmtId="0" fontId="14" fillId="0" borderId="14" xfId="0" applyFont="1" applyFill="1" applyBorder="1" applyAlignment="1">
      <alignment horizontal="left" vertical="justify" wrapText="1"/>
    </xf>
    <xf numFmtId="0" fontId="24" fillId="0" borderId="30" xfId="0" applyFont="1" applyFill="1" applyBorder="1" applyAlignment="1">
      <alignment horizontal="left" vertical="justify" wrapText="1"/>
    </xf>
    <xf numFmtId="0" fontId="24" fillId="0" borderId="76" xfId="0" applyFont="1" applyFill="1" applyBorder="1" applyAlignment="1">
      <alignment horizontal="left" vertical="justify" wrapText="1"/>
    </xf>
    <xf numFmtId="0" fontId="1" fillId="0" borderId="53" xfId="0" applyFont="1" applyBorder="1" applyAlignment="1">
      <alignment horizontal="left" vertical="justify" wrapText="1"/>
    </xf>
    <xf numFmtId="0" fontId="0" fillId="0" borderId="21" xfId="0" applyBorder="1" applyAlignment="1">
      <alignment horizontal="left" vertical="justify" wrapText="1"/>
    </xf>
    <xf numFmtId="0" fontId="0" fillId="0" borderId="80" xfId="0" applyBorder="1" applyAlignment="1">
      <alignment horizontal="left" vertical="justify" wrapText="1"/>
    </xf>
    <xf numFmtId="0" fontId="0" fillId="0" borderId="58" xfId="0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0" fillId="0" borderId="99" xfId="0" applyBorder="1" applyAlignment="1">
      <alignment horizontal="left" vertical="justify" wrapText="1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justify" wrapText="1"/>
    </xf>
    <xf numFmtId="0" fontId="23" fillId="0" borderId="18" xfId="0" applyFont="1" applyFill="1" applyBorder="1" applyAlignment="1">
      <alignment horizontal="left" vertical="justify" wrapText="1"/>
    </xf>
    <xf numFmtId="0" fontId="23" fillId="0" borderId="19" xfId="0" applyFont="1" applyFill="1" applyBorder="1" applyAlignment="1">
      <alignment horizontal="left" vertical="justify" wrapText="1"/>
    </xf>
    <xf numFmtId="0" fontId="23" fillId="0" borderId="20" xfId="0" applyFont="1" applyFill="1" applyBorder="1" applyAlignment="1">
      <alignment horizontal="left" vertical="justify" wrapText="1"/>
    </xf>
    <xf numFmtId="0" fontId="72" fillId="0" borderId="8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72" fontId="22" fillId="0" borderId="23" xfId="0" applyNumberFormat="1" applyFont="1" applyFill="1" applyBorder="1" applyAlignment="1">
      <alignment horizontal="center" vertical="center" wrapText="1"/>
    </xf>
    <xf numFmtId="172" fontId="22" fillId="0" borderId="8" xfId="0" applyNumberFormat="1" applyFont="1" applyFill="1" applyBorder="1" applyAlignment="1">
      <alignment horizontal="center" vertical="center" wrapText="1"/>
    </xf>
    <xf numFmtId="172" fontId="22" fillId="0" borderId="17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5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172" fontId="80" fillId="0" borderId="13" xfId="0" applyNumberFormat="1" applyFont="1" applyFill="1" applyBorder="1" applyAlignment="1">
      <alignment horizontal="center" vertical="center" wrapText="1"/>
    </xf>
    <xf numFmtId="172" fontId="80" fillId="0" borderId="15" xfId="0" applyNumberFormat="1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172" fontId="73" fillId="0" borderId="26" xfId="0" applyNumberFormat="1" applyFont="1" applyFill="1" applyBorder="1" applyAlignment="1">
      <alignment horizontal="center" vertical="center"/>
    </xf>
    <xf numFmtId="172" fontId="73" fillId="0" borderId="22" xfId="0" applyNumberFormat="1" applyFont="1" applyFill="1" applyBorder="1" applyAlignment="1">
      <alignment horizontal="center" vertical="center"/>
    </xf>
    <xf numFmtId="175" fontId="77" fillId="0" borderId="25" xfId="0" applyNumberFormat="1" applyFont="1" applyFill="1" applyBorder="1" applyAlignment="1">
      <alignment horizontal="left"/>
    </xf>
    <xf numFmtId="0" fontId="78" fillId="0" borderId="25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7" fillId="0" borderId="0" xfId="0" applyFont="1" applyBorder="1" applyAlignment="1">
      <alignment/>
    </xf>
    <xf numFmtId="0" fontId="0" fillId="0" borderId="0" xfId="0" applyAlignment="1">
      <alignment/>
    </xf>
    <xf numFmtId="0" fontId="87" fillId="0" borderId="0" xfId="72" applyNumberFormat="1" applyFont="1" applyFill="1" applyBorder="1" applyAlignment="1">
      <alignment horizontal="left" vertical="center" wrapText="1"/>
      <protection/>
    </xf>
    <xf numFmtId="0" fontId="88" fillId="0" borderId="0" xfId="65" applyFont="1" applyAlignment="1">
      <alignment horizontal="center"/>
      <protection/>
    </xf>
    <xf numFmtId="0" fontId="87" fillId="0" borderId="0" xfId="65" applyFont="1" applyAlignment="1">
      <alignment horizontal="center"/>
      <protection/>
    </xf>
    <xf numFmtId="0" fontId="88" fillId="0" borderId="0" xfId="65" applyFont="1" applyAlignment="1">
      <alignment horizontal="left"/>
      <protection/>
    </xf>
    <xf numFmtId="175" fontId="90" fillId="0" borderId="60" xfId="65" applyNumberFormat="1" applyFont="1" applyFill="1" applyBorder="1" applyAlignment="1">
      <alignment horizontal="center" vertical="center" wrapText="1"/>
      <protection/>
    </xf>
    <xf numFmtId="0" fontId="87" fillId="0" borderId="60" xfId="0" applyFont="1" applyBorder="1" applyAlignment="1">
      <alignment/>
    </xf>
    <xf numFmtId="0" fontId="87" fillId="0" borderId="38" xfId="0" applyFont="1" applyBorder="1" applyAlignment="1">
      <alignment/>
    </xf>
    <xf numFmtId="0" fontId="162" fillId="0" borderId="0" xfId="0" applyFont="1" applyBorder="1" applyAlignment="1">
      <alignment/>
    </xf>
    <xf numFmtId="0" fontId="145" fillId="0" borderId="0" xfId="0" applyFont="1" applyAlignment="1">
      <alignment/>
    </xf>
    <xf numFmtId="0" fontId="88" fillId="0" borderId="0" xfId="65" applyFont="1" applyFill="1" applyAlignment="1">
      <alignment horizontal="left"/>
      <protection/>
    </xf>
    <xf numFmtId="175" fontId="162" fillId="0" borderId="0" xfId="65" applyNumberFormat="1" applyFont="1" applyFill="1" applyBorder="1" applyAlignment="1">
      <alignment horizontal="left" vertical="center" wrapText="1"/>
      <protection/>
    </xf>
    <xf numFmtId="0" fontId="162" fillId="0" borderId="0" xfId="0" applyFont="1" applyBorder="1" applyAlignment="1">
      <alignment horizontal="left"/>
    </xf>
    <xf numFmtId="178" fontId="110" fillId="35" borderId="29" xfId="0" applyNumberFormat="1" applyFont="1" applyFill="1" applyBorder="1" applyAlignment="1">
      <alignment horizontal="center"/>
    </xf>
    <xf numFmtId="178" fontId="110" fillId="35" borderId="72" xfId="0" applyNumberFormat="1" applyFont="1" applyFill="1" applyBorder="1" applyAlignment="1">
      <alignment horizontal="center"/>
    </xf>
    <xf numFmtId="178" fontId="110" fillId="35" borderId="36" xfId="0" applyNumberFormat="1" applyFont="1" applyFill="1" applyBorder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12" fillId="0" borderId="0" xfId="0" applyFont="1" applyAlignment="1">
      <alignment horizontal="left" vertical="center" wrapText="1"/>
    </xf>
    <xf numFmtId="0" fontId="112" fillId="0" borderId="0" xfId="0" applyFont="1" applyAlignment="1">
      <alignment wrapText="1"/>
    </xf>
    <xf numFmtId="0" fontId="111" fillId="0" borderId="13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93" fillId="0" borderId="14" xfId="0" applyFont="1" applyFill="1" applyBorder="1" applyAlignment="1">
      <alignment horizontal="center" vertical="center"/>
    </xf>
    <xf numFmtId="0" fontId="93" fillId="0" borderId="8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2" fontId="9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93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93" fillId="0" borderId="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104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8" fillId="0" borderId="44" xfId="0" applyNumberFormat="1" applyFont="1" applyBorder="1" applyAlignment="1">
      <alignment horizontal="center"/>
    </xf>
    <xf numFmtId="0" fontId="68" fillId="0" borderId="79" xfId="0" applyNumberFormat="1" applyFont="1" applyBorder="1" applyAlignment="1">
      <alignment horizontal="center"/>
    </xf>
    <xf numFmtId="0" fontId="68" fillId="0" borderId="76" xfId="0" applyNumberFormat="1" applyFont="1" applyBorder="1" applyAlignment="1">
      <alignment horizontal="center" vertical="center" wrapText="1"/>
    </xf>
    <xf numFmtId="0" fontId="68" fillId="0" borderId="8" xfId="0" applyNumberFormat="1" applyFont="1" applyBorder="1" applyAlignment="1">
      <alignment horizontal="center" vertical="center" wrapText="1"/>
    </xf>
    <xf numFmtId="0" fontId="125" fillId="0" borderId="76" xfId="0" applyNumberFormat="1" applyFont="1" applyBorder="1" applyAlignment="1">
      <alignment horizontal="left" vertical="top" wrapText="1"/>
    </xf>
    <xf numFmtId="0" fontId="68" fillId="0" borderId="44" xfId="0" applyFont="1" applyBorder="1" applyAlignment="1">
      <alignment horizontal="left"/>
    </xf>
    <xf numFmtId="0" fontId="68" fillId="0" borderId="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5" fillId="0" borderId="53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55" xfId="0" applyFont="1" applyBorder="1" applyAlignment="1">
      <alignment vertical="center" wrapText="1"/>
    </xf>
    <xf numFmtId="0" fontId="49" fillId="0" borderId="58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34" xfId="0" applyFont="1" applyBorder="1" applyAlignment="1">
      <alignment vertical="center" wrapText="1"/>
    </xf>
    <xf numFmtId="0" fontId="45" fillId="0" borderId="5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1" borderId="14" xfId="0" applyFont="1" applyFill="1" applyBorder="1" applyAlignment="1">
      <alignment horizontal="center" vertical="center" wrapText="1"/>
    </xf>
    <xf numFmtId="0" fontId="1" fillId="31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5" fontId="1" fillId="0" borderId="0" xfId="0" applyNumberFormat="1" applyFont="1" applyFill="1" applyBorder="1" applyAlignment="1">
      <alignment vertical="top" wrapText="1"/>
    </xf>
    <xf numFmtId="2" fontId="1" fillId="0" borderId="33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top" wrapText="1"/>
    </xf>
    <xf numFmtId="0" fontId="1" fillId="0" borderId="85" xfId="0" applyFont="1" applyFill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8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right" vertical="top" wrapText="1"/>
    </xf>
    <xf numFmtId="0" fontId="1" fillId="0" borderId="70" xfId="0" applyFont="1" applyFill="1" applyBorder="1" applyAlignment="1">
      <alignment horizontal="right" vertical="top" wrapText="1"/>
    </xf>
    <xf numFmtId="0" fontId="1" fillId="0" borderId="46" xfId="0" applyFont="1" applyFill="1" applyBorder="1" applyAlignment="1">
      <alignment horizontal="right" vertical="top" wrapText="1"/>
    </xf>
    <xf numFmtId="0" fontId="1" fillId="0" borderId="85" xfId="0" applyFont="1" applyFill="1" applyBorder="1" applyAlignment="1">
      <alignment horizontal="right" vertical="top" wrapText="1"/>
    </xf>
    <xf numFmtId="2" fontId="1" fillId="0" borderId="33" xfId="0" applyNumberFormat="1" applyFont="1" applyFill="1" applyBorder="1" applyAlignment="1">
      <alignment horizontal="right" vertical="top" wrapText="1"/>
    </xf>
    <xf numFmtId="0" fontId="1" fillId="0" borderId="29" xfId="68" applyNumberFormat="1" applyFont="1" applyFill="1" applyBorder="1" applyAlignment="1" applyProtection="1">
      <alignment horizontal="center" vertical="top"/>
      <protection/>
    </xf>
    <xf numFmtId="0" fontId="1" fillId="0" borderId="72" xfId="68" applyNumberFormat="1" applyFont="1" applyFill="1" applyBorder="1" applyAlignment="1" applyProtection="1">
      <alignment horizontal="center" vertical="top"/>
      <protection/>
    </xf>
    <xf numFmtId="0" fontId="1" fillId="0" borderId="36" xfId="68" applyNumberFormat="1" applyFont="1" applyFill="1" applyBorder="1" applyAlignment="1" applyProtection="1">
      <alignment horizontal="center" vertical="top"/>
      <protection/>
    </xf>
    <xf numFmtId="0" fontId="46" fillId="0" borderId="76" xfId="68" applyNumberFormat="1" applyFont="1" applyFill="1" applyBorder="1" applyAlignment="1" applyProtection="1">
      <alignment horizontal="center" vertical="center" wrapText="1"/>
      <protection/>
    </xf>
    <xf numFmtId="0" fontId="46" fillId="0" borderId="50" xfId="68" applyNumberFormat="1" applyFont="1" applyFill="1" applyBorder="1" applyAlignment="1" applyProtection="1">
      <alignment horizontal="center" vertical="center" wrapText="1"/>
      <protection/>
    </xf>
    <xf numFmtId="0" fontId="17" fillId="0" borderId="50" xfId="68" applyNumberFormat="1" applyFont="1" applyFill="1" applyBorder="1" applyAlignment="1" applyProtection="1">
      <alignment horizontal="center" vertical="center" wrapText="1"/>
      <protection/>
    </xf>
    <xf numFmtId="0" fontId="17" fillId="0" borderId="63" xfId="68" applyNumberFormat="1" applyFont="1" applyFill="1" applyBorder="1" applyAlignment="1" applyProtection="1">
      <alignment horizontal="center" vertical="center" wrapText="1"/>
      <protection/>
    </xf>
    <xf numFmtId="0" fontId="17" fillId="0" borderId="7" xfId="68" applyNumberFormat="1" applyFont="1" applyFill="1" applyBorder="1" applyAlignment="1" applyProtection="1">
      <alignment horizontal="center" vertical="center" wrapText="1"/>
      <protection/>
    </xf>
    <xf numFmtId="0" fontId="17" fillId="0" borderId="52" xfId="68" applyNumberFormat="1" applyFont="1" applyFill="1" applyBorder="1" applyAlignment="1" applyProtection="1">
      <alignment horizontal="center" vertical="center" wrapText="1"/>
      <protection/>
    </xf>
    <xf numFmtId="0" fontId="51" fillId="0" borderId="45" xfId="68" applyNumberFormat="1" applyFont="1" applyFill="1" applyBorder="1" applyAlignment="1" applyProtection="1">
      <alignment horizontal="center" vertical="center" wrapText="1"/>
      <protection/>
    </xf>
    <xf numFmtId="0" fontId="51" fillId="0" borderId="38" xfId="68" applyNumberFormat="1" applyFont="1" applyFill="1" applyBorder="1" applyAlignment="1" applyProtection="1">
      <alignment horizontal="center" vertical="center" wrapText="1"/>
      <protection/>
    </xf>
    <xf numFmtId="0" fontId="17" fillId="0" borderId="81" xfId="68" applyNumberFormat="1" applyFont="1" applyFill="1" applyBorder="1" applyAlignment="1" applyProtection="1">
      <alignment horizontal="center" vertical="center" wrapText="1"/>
      <protection/>
    </xf>
    <xf numFmtId="0" fontId="17" fillId="0" borderId="69" xfId="68" applyNumberFormat="1" applyFont="1" applyFill="1" applyBorder="1" applyAlignment="1" applyProtection="1">
      <alignment horizontal="center" vertical="center" wrapText="1"/>
      <protection/>
    </xf>
    <xf numFmtId="0" fontId="51" fillId="31" borderId="60" xfId="68" applyNumberFormat="1" applyFont="1" applyFill="1" applyBorder="1" applyAlignment="1" applyProtection="1">
      <alignment horizontal="center" vertical="center" wrapText="1"/>
      <protection/>
    </xf>
    <xf numFmtId="0" fontId="51" fillId="31" borderId="38" xfId="68" applyNumberFormat="1" applyFont="1" applyFill="1" applyBorder="1" applyAlignment="1" applyProtection="1">
      <alignment horizontal="center" vertical="center" wrapText="1"/>
      <protection/>
    </xf>
    <xf numFmtId="0" fontId="46" fillId="0" borderId="76" xfId="68" applyNumberFormat="1" applyFont="1" applyFill="1" applyBorder="1" applyAlignment="1" applyProtection="1">
      <alignment horizontal="center" vertical="center"/>
      <protection/>
    </xf>
    <xf numFmtId="0" fontId="17" fillId="0" borderId="50" xfId="68" applyNumberFormat="1" applyFont="1" applyFill="1" applyBorder="1" applyAlignment="1" applyProtection="1">
      <alignment vertical="top"/>
      <protection/>
    </xf>
    <xf numFmtId="0" fontId="17" fillId="0" borderId="63" xfId="68" applyNumberFormat="1" applyFont="1" applyFill="1" applyBorder="1" applyAlignment="1" applyProtection="1">
      <alignment vertical="top"/>
      <protection/>
    </xf>
    <xf numFmtId="0" fontId="51" fillId="37" borderId="60" xfId="68" applyNumberFormat="1" applyFont="1" applyFill="1" applyBorder="1" applyAlignment="1" applyProtection="1">
      <alignment horizontal="center" vertical="center" wrapText="1"/>
      <protection/>
    </xf>
    <xf numFmtId="0" fontId="51" fillId="37" borderId="38" xfId="68" applyNumberFormat="1" applyFont="1" applyFill="1" applyBorder="1" applyAlignment="1" applyProtection="1">
      <alignment horizontal="center" vertical="center" wrapText="1"/>
      <protection/>
    </xf>
    <xf numFmtId="0" fontId="51" fillId="0" borderId="68" xfId="68" applyNumberFormat="1" applyFont="1" applyFill="1" applyBorder="1" applyAlignment="1" applyProtection="1">
      <alignment horizontal="center" vertical="center" wrapText="1"/>
      <protection/>
    </xf>
    <xf numFmtId="0" fontId="51" fillId="0" borderId="65" xfId="68" applyNumberFormat="1" applyFont="1" applyFill="1" applyBorder="1" applyAlignment="1" applyProtection="1">
      <alignment horizontal="center" vertical="center" wrapText="1"/>
      <protection/>
    </xf>
    <xf numFmtId="0" fontId="45" fillId="0" borderId="29" xfId="68" applyNumberFormat="1" applyFont="1" applyFill="1" applyBorder="1" applyAlignment="1" applyProtection="1">
      <alignment horizontal="center" vertical="top" wrapText="1"/>
      <protection/>
    </xf>
    <xf numFmtId="0" fontId="45" fillId="0" borderId="72" xfId="68" applyNumberFormat="1" applyFont="1" applyFill="1" applyBorder="1" applyAlignment="1" applyProtection="1">
      <alignment horizontal="center" vertical="top" wrapText="1"/>
      <protection/>
    </xf>
    <xf numFmtId="0" fontId="45" fillId="0" borderId="36" xfId="68" applyNumberFormat="1" applyFont="1" applyFill="1" applyBorder="1" applyAlignment="1" applyProtection="1">
      <alignment horizontal="center" vertical="top" wrapText="1"/>
      <protection/>
    </xf>
    <xf numFmtId="0" fontId="17" fillId="0" borderId="76" xfId="68" applyNumberFormat="1" applyFont="1" applyFill="1" applyBorder="1" applyAlignment="1" applyProtection="1">
      <alignment horizontal="center" vertical="center" wrapText="1"/>
      <protection/>
    </xf>
    <xf numFmtId="0" fontId="75" fillId="0" borderId="13" xfId="68" applyNumberFormat="1" applyFont="1" applyFill="1" applyBorder="1" applyAlignment="1" applyProtection="1">
      <alignment horizontal="left" vertical="center"/>
      <protection/>
    </xf>
    <xf numFmtId="0" fontId="75" fillId="0" borderId="14" xfId="68" applyNumberFormat="1" applyFont="1" applyFill="1" applyBorder="1" applyAlignment="1" applyProtection="1">
      <alignment horizontal="left" vertical="center"/>
      <protection/>
    </xf>
    <xf numFmtId="0" fontId="75" fillId="0" borderId="18" xfId="68" applyNumberFormat="1" applyFont="1" applyFill="1" applyBorder="1" applyAlignment="1" applyProtection="1">
      <alignment horizontal="left" vertical="center"/>
      <protection/>
    </xf>
    <xf numFmtId="0" fontId="75" fillId="0" borderId="19" xfId="68" applyNumberFormat="1" applyFont="1" applyFill="1" applyBorder="1" applyAlignment="1" applyProtection="1">
      <alignment horizontal="left" vertical="center"/>
      <protection/>
    </xf>
    <xf numFmtId="0" fontId="51" fillId="0" borderId="53" xfId="68" applyNumberFormat="1" applyFont="1" applyFill="1" applyBorder="1" applyAlignment="1" applyProtection="1">
      <alignment horizontal="center" vertical="center" wrapText="1"/>
      <protection/>
    </xf>
    <xf numFmtId="0" fontId="51" fillId="0" borderId="21" xfId="68" applyNumberFormat="1" applyFont="1" applyFill="1" applyBorder="1" applyAlignment="1" applyProtection="1">
      <alignment horizontal="center" vertical="center" wrapText="1"/>
      <protection/>
    </xf>
    <xf numFmtId="0" fontId="51" fillId="0" borderId="55" xfId="68" applyNumberFormat="1" applyFont="1" applyFill="1" applyBorder="1" applyAlignment="1" applyProtection="1">
      <alignment horizontal="center" vertical="center" wrapText="1"/>
      <protection/>
    </xf>
    <xf numFmtId="0" fontId="51" fillId="0" borderId="58" xfId="68" applyNumberFormat="1" applyFont="1" applyFill="1" applyBorder="1" applyAlignment="1" applyProtection="1">
      <alignment horizontal="center" vertical="center" wrapText="1"/>
      <protection/>
    </xf>
    <xf numFmtId="0" fontId="51" fillId="0" borderId="25" xfId="68" applyNumberFormat="1" applyFont="1" applyFill="1" applyBorder="1" applyAlignment="1" applyProtection="1">
      <alignment horizontal="center" vertical="center" wrapText="1"/>
      <protection/>
    </xf>
    <xf numFmtId="0" fontId="51" fillId="0" borderId="34" xfId="68" applyNumberFormat="1" applyFont="1" applyFill="1" applyBorder="1" applyAlignment="1" applyProtection="1">
      <alignment horizontal="center" vertical="center" wrapText="1"/>
      <protection/>
    </xf>
    <xf numFmtId="0" fontId="17" fillId="0" borderId="21" xfId="69" applyNumberFormat="1" applyFont="1" applyFill="1" applyBorder="1" applyAlignment="1" applyProtection="1">
      <alignment horizontal="center" vertical="center" wrapText="1"/>
      <protection/>
    </xf>
    <xf numFmtId="0" fontId="17" fillId="0" borderId="55" xfId="69" applyNumberFormat="1" applyFont="1" applyFill="1" applyBorder="1" applyAlignment="1" applyProtection="1">
      <alignment horizontal="center" vertical="center" wrapText="1"/>
      <protection/>
    </xf>
    <xf numFmtId="0" fontId="17" fillId="0" borderId="25" xfId="69" applyNumberFormat="1" applyFont="1" applyFill="1" applyBorder="1" applyAlignment="1" applyProtection="1">
      <alignment horizontal="center" vertical="center" wrapText="1"/>
      <protection/>
    </xf>
    <xf numFmtId="0" fontId="17" fillId="0" borderId="34" xfId="69" applyNumberFormat="1" applyFont="1" applyFill="1" applyBorder="1" applyAlignment="1" applyProtection="1">
      <alignment horizontal="center" vertical="center" wrapText="1"/>
      <protection/>
    </xf>
    <xf numFmtId="0" fontId="1" fillId="0" borderId="53" xfId="69" applyNumberFormat="1" applyFont="1" applyFill="1" applyBorder="1" applyAlignment="1" applyProtection="1">
      <alignment horizontal="center" wrapText="1"/>
      <protection/>
    </xf>
    <xf numFmtId="0" fontId="1" fillId="0" borderId="21" xfId="69" applyNumberFormat="1" applyFont="1" applyFill="1" applyBorder="1" applyAlignment="1" applyProtection="1">
      <alignment horizontal="center" wrapText="1"/>
      <protection/>
    </xf>
    <xf numFmtId="0" fontId="1" fillId="0" borderId="58" xfId="69" applyNumberFormat="1" applyFont="1" applyFill="1" applyBorder="1" applyAlignment="1" applyProtection="1">
      <alignment horizontal="center" wrapText="1"/>
      <protection/>
    </xf>
    <xf numFmtId="0" fontId="1" fillId="0" borderId="25" xfId="69" applyNumberFormat="1" applyFont="1" applyFill="1" applyBorder="1" applyAlignment="1" applyProtection="1">
      <alignment horizontal="center" wrapText="1"/>
      <protection/>
    </xf>
    <xf numFmtId="0" fontId="1" fillId="0" borderId="33" xfId="69" applyNumberFormat="1" applyFont="1" applyFill="1" applyBorder="1" applyAlignment="1" applyProtection="1">
      <alignment horizontal="center" vertical="center" wrapText="1"/>
      <protection/>
    </xf>
    <xf numFmtId="0" fontId="1" fillId="0" borderId="35" xfId="69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53" xfId="70" applyNumberFormat="1" applyFont="1" applyFill="1" applyBorder="1" applyAlignment="1" applyProtection="1">
      <alignment horizontal="left" vertical="center" wrapText="1"/>
      <protection/>
    </xf>
    <xf numFmtId="0" fontId="1" fillId="0" borderId="21" xfId="70" applyNumberFormat="1" applyFont="1" applyFill="1" applyBorder="1" applyAlignment="1" applyProtection="1">
      <alignment horizontal="left" vertical="center" wrapText="1"/>
      <protection/>
    </xf>
    <xf numFmtId="0" fontId="1" fillId="0" borderId="56" xfId="70" applyNumberFormat="1" applyFont="1" applyFill="1" applyBorder="1" applyAlignment="1" applyProtection="1">
      <alignment horizontal="left" vertical="center" wrapText="1"/>
      <protection/>
    </xf>
    <xf numFmtId="0" fontId="1" fillId="0" borderId="0" xfId="70" applyNumberFormat="1" applyFont="1" applyFill="1" applyBorder="1" applyAlignment="1" applyProtection="1">
      <alignment horizontal="left" vertical="center" wrapText="1"/>
      <protection/>
    </xf>
    <xf numFmtId="0" fontId="1" fillId="0" borderId="53" xfId="70" applyNumberFormat="1" applyFont="1" applyFill="1" applyBorder="1" applyAlignment="1" applyProtection="1">
      <alignment horizontal="center" vertical="center" wrapText="1"/>
      <protection/>
    </xf>
    <xf numFmtId="0" fontId="1" fillId="0" borderId="55" xfId="70" applyNumberFormat="1" applyFont="1" applyFill="1" applyBorder="1" applyAlignment="1" applyProtection="1">
      <alignment horizontal="center" vertical="center" wrapText="1"/>
      <protection/>
    </xf>
    <xf numFmtId="0" fontId="1" fillId="0" borderId="56" xfId="70" applyNumberFormat="1" applyFont="1" applyFill="1" applyBorder="1" applyAlignment="1" applyProtection="1">
      <alignment horizontal="center" vertical="center" wrapText="1"/>
      <protection/>
    </xf>
    <xf numFmtId="0" fontId="1" fillId="0" borderId="57" xfId="7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63" xfId="0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66" xfId="0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 wrapText="1"/>
    </xf>
    <xf numFmtId="0" fontId="68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17" fontId="3" fillId="0" borderId="8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3" fillId="0" borderId="44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0" fillId="0" borderId="0" xfId="75" applyFont="1" applyAlignment="1">
      <alignment horizontal="justify" vertical="center" wrapText="1"/>
      <protection/>
    </xf>
    <xf numFmtId="0" fontId="30" fillId="0" borderId="0" xfId="75" applyFont="1" applyAlignment="1">
      <alignment/>
      <protection/>
    </xf>
    <xf numFmtId="0" fontId="37" fillId="0" borderId="0" xfId="75" applyAlignment="1">
      <alignment/>
      <protection/>
    </xf>
    <xf numFmtId="0" fontId="37" fillId="0" borderId="27" xfId="75" applyBorder="1" applyAlignment="1">
      <alignment horizontal="center" vertical="center"/>
      <protection/>
    </xf>
    <xf numFmtId="0" fontId="37" fillId="0" borderId="78" xfId="75" applyBorder="1" applyAlignment="1">
      <alignment horizontal="center" vertical="center"/>
      <protection/>
    </xf>
    <xf numFmtId="0" fontId="37" fillId="0" borderId="23" xfId="75" applyBorder="1" applyAlignment="1">
      <alignment horizontal="center" vertical="center"/>
      <protection/>
    </xf>
    <xf numFmtId="0" fontId="37" fillId="0" borderId="76" xfId="75" applyBorder="1" applyAlignment="1">
      <alignment horizontal="center" vertical="center" wrapText="1"/>
      <protection/>
    </xf>
    <xf numFmtId="0" fontId="37" fillId="0" borderId="79" xfId="75" applyBorder="1" applyAlignment="1">
      <alignment horizontal="center" vertical="center" wrapText="1"/>
      <protection/>
    </xf>
    <xf numFmtId="0" fontId="37" fillId="0" borderId="50" xfId="75" applyBorder="1" applyAlignment="1">
      <alignment horizontal="center" vertical="center" wrapText="1"/>
      <protection/>
    </xf>
    <xf numFmtId="0" fontId="37" fillId="0" borderId="0" xfId="75" applyBorder="1" applyAlignment="1">
      <alignment horizontal="center" vertical="center" wrapText="1"/>
      <protection/>
    </xf>
    <xf numFmtId="0" fontId="37" fillId="0" borderId="63" xfId="75" applyBorder="1" applyAlignment="1">
      <alignment horizontal="center" vertical="center" wrapText="1"/>
      <protection/>
    </xf>
    <xf numFmtId="0" fontId="37" fillId="0" borderId="44" xfId="75" applyBorder="1" applyAlignment="1">
      <alignment horizontal="center" vertical="center" wrapText="1"/>
      <protection/>
    </xf>
    <xf numFmtId="0" fontId="37" fillId="0" borderId="79" xfId="75" applyFont="1" applyBorder="1" applyAlignment="1">
      <alignment horizontal="center" vertical="center" wrapText="1"/>
      <protection/>
    </xf>
    <xf numFmtId="0" fontId="37" fillId="0" borderId="40" xfId="75" applyBorder="1" applyAlignment="1">
      <alignment horizontal="center" vertical="center" wrapText="1"/>
      <protection/>
    </xf>
    <xf numFmtId="0" fontId="37" fillId="0" borderId="77" xfId="75" applyBorder="1" applyAlignment="1">
      <alignment horizontal="center" vertical="center" wrapText="1"/>
      <protection/>
    </xf>
    <xf numFmtId="0" fontId="37" fillId="0" borderId="78" xfId="75" applyBorder="1" applyAlignment="1">
      <alignment horizontal="center" vertical="center" wrapText="1"/>
      <protection/>
    </xf>
    <xf numFmtId="0" fontId="37" fillId="0" borderId="23" xfId="75" applyBorder="1" applyAlignment="1">
      <alignment horizontal="center" vertical="center" wrapText="1"/>
      <protection/>
    </xf>
    <xf numFmtId="0" fontId="37" fillId="0" borderId="27" xfId="75" applyBorder="1" applyAlignment="1">
      <alignment horizontal="center" vertical="center" wrapText="1"/>
      <protection/>
    </xf>
    <xf numFmtId="0" fontId="37" fillId="0" borderId="8" xfId="75" applyBorder="1" applyAlignment="1">
      <alignment horizontal="center" vertical="center"/>
      <protection/>
    </xf>
    <xf numFmtId="0" fontId="37" fillId="0" borderId="8" xfId="75" applyBorder="1" applyAlignment="1">
      <alignment horizontal="center" vertical="center" wrapText="1"/>
      <protection/>
    </xf>
    <xf numFmtId="0" fontId="37" fillId="0" borderId="29" xfId="75" applyBorder="1" applyAlignment="1">
      <alignment horizontal="center" vertical="center" wrapText="1"/>
      <protection/>
    </xf>
    <xf numFmtId="0" fontId="37" fillId="0" borderId="29" xfId="75" applyBorder="1">
      <alignment/>
      <protection/>
    </xf>
    <xf numFmtId="0" fontId="37" fillId="0" borderId="36" xfId="75" applyBorder="1">
      <alignment/>
      <protection/>
    </xf>
    <xf numFmtId="0" fontId="11" fillId="0" borderId="29" xfId="75" applyFont="1" applyFill="1" applyBorder="1" applyAlignment="1">
      <alignment horizontal="center" vertical="center" wrapText="1"/>
      <protection/>
    </xf>
    <xf numFmtId="0" fontId="11" fillId="0" borderId="36" xfId="75" applyFont="1" applyFill="1" applyBorder="1" applyAlignment="1">
      <alignment horizontal="center" vertical="center" wrapText="1"/>
      <protection/>
    </xf>
    <xf numFmtId="0" fontId="37" fillId="0" borderId="29" xfId="75" applyFont="1" applyBorder="1" applyAlignment="1">
      <alignment horizontal="center"/>
      <protection/>
    </xf>
    <xf numFmtId="0" fontId="37" fillId="0" borderId="36" xfId="75" applyFont="1" applyBorder="1" applyAlignment="1">
      <alignment horizontal="center"/>
      <protection/>
    </xf>
    <xf numFmtId="0" fontId="37" fillId="0" borderId="0" xfId="75" applyFont="1" applyAlignment="1">
      <alignment horizontal="center" vertical="center" wrapText="1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_BPnov (1)" xfId="66"/>
    <cellStyle name="Обычный_FORM3.1" xfId="67"/>
    <cellStyle name="Обычный_tmp43" xfId="68"/>
    <cellStyle name="Обычный_tmp7D" xfId="69"/>
    <cellStyle name="Обычный_tmp83" xfId="70"/>
    <cellStyle name="Обычный_Лист1" xfId="71"/>
    <cellStyle name="Обычный_НВВ 2009 постатейно свод по филиалам_09_02_09" xfId="72"/>
    <cellStyle name="Обычный_Т.25 потери" xfId="73"/>
    <cellStyle name="Обычный_тарифы на 2002г с 1-01" xfId="74"/>
    <cellStyle name="Обычный_условные единицы СЭРЭС в расчет" xfId="75"/>
    <cellStyle name="Обычный_Форма 4 Станция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_GRES.2007.5" xfId="91"/>
    <cellStyle name="ФормулаВБ" xfId="92"/>
    <cellStyle name="ФормулаНаКонтроль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0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Relationship Id="rId5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1590675</xdr:colOff>
      <xdr:row>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47750"/>
          <a:ext cx="1590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1981200</xdr:colOff>
      <xdr:row>9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676400"/>
          <a:ext cx="1981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11</xdr:row>
      <xdr:rowOff>76200</xdr:rowOff>
    </xdr:from>
    <xdr:to>
      <xdr:col>4</xdr:col>
      <xdr:colOff>1238250</xdr:colOff>
      <xdr:row>14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2381250"/>
          <a:ext cx="515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38</xdr:row>
      <xdr:rowOff>304800</xdr:rowOff>
    </xdr:from>
    <xdr:to>
      <xdr:col>4</xdr:col>
      <xdr:colOff>285750</xdr:colOff>
      <xdr:row>39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808672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619125</xdr:colOff>
      <xdr:row>38</xdr:row>
      <xdr:rowOff>200025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7781925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219075</xdr:colOff>
      <xdr:row>41</xdr:row>
      <xdr:rowOff>38100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83248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37</xdr:row>
      <xdr:rowOff>38100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4295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895350</xdr:colOff>
      <xdr:row>8</xdr:row>
      <xdr:rowOff>381000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562100"/>
          <a:ext cx="5867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1905000</xdr:colOff>
      <xdr:row>3</xdr:row>
      <xdr:rowOff>104775</xdr:rowOff>
    </xdr:from>
    <xdr:to>
      <xdr:col>4</xdr:col>
      <xdr:colOff>1076325</xdr:colOff>
      <xdr:row>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66750"/>
          <a:ext cx="2505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5</xdr:row>
      <xdr:rowOff>38100</xdr:rowOff>
    </xdr:from>
    <xdr:ext cx="676275" cy="285750"/>
    <xdr:sp>
      <xdr:nvSpPr>
        <xdr:cNvPr id="1" name="AutoShape 921"/>
        <xdr:cNvSpPr>
          <a:spLocks noChangeAspect="1"/>
        </xdr:cNvSpPr>
      </xdr:nvSpPr>
      <xdr:spPr>
        <a:xfrm>
          <a:off x="4048125" y="1752600"/>
          <a:ext cx="67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276225</xdr:colOff>
      <xdr:row>4</xdr:row>
      <xdr:rowOff>47625</xdr:rowOff>
    </xdr:from>
    <xdr:to>
      <xdr:col>2</xdr:col>
      <xdr:colOff>609600</xdr:colOff>
      <xdr:row>4</xdr:row>
      <xdr:rowOff>276225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382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6</xdr:row>
      <xdr:rowOff>28575</xdr:rowOff>
    </xdr:from>
    <xdr:to>
      <xdr:col>2</xdr:col>
      <xdr:colOff>666750</xdr:colOff>
      <xdr:row>6</xdr:row>
      <xdr:rowOff>257175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0764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7</xdr:row>
      <xdr:rowOff>19050</xdr:rowOff>
    </xdr:from>
    <xdr:to>
      <xdr:col>2</xdr:col>
      <xdr:colOff>771525</xdr:colOff>
      <xdr:row>7</xdr:row>
      <xdr:rowOff>257175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390775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8</xdr:row>
      <xdr:rowOff>104775</xdr:rowOff>
    </xdr:from>
    <xdr:to>
      <xdr:col>2</xdr:col>
      <xdr:colOff>752475</xdr:colOff>
      <xdr:row>8</xdr:row>
      <xdr:rowOff>333375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78130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19050</xdr:rowOff>
    </xdr:from>
    <xdr:to>
      <xdr:col>2</xdr:col>
      <xdr:colOff>647700</xdr:colOff>
      <xdr:row>5</xdr:row>
      <xdr:rowOff>247650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17335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&#1044;&#1086;%202009\&#1084;&#1072;&#1081;%202006\&#1044;&#1051;&#1071;%20&#1055;&#1056;&#1040;&#1042;&#1048;&#1058;&#1045;&#1051;&#1068;&#1057;&#1058;&#1042;&#1040;%201%20&#1048;&#1070;&#1053;&#1071;\&#1044;&#1051;&#1071;%20&#1056;&#1045;&#1043;&#1048;&#1054;&#1053;&#1054;&#1042;\V2.20077.26.&#1084;&#1072;&#1103;&#1091;&#1090;&#1086;&#1095;&#1085;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2&#1076;&#1077;&#1092;&#1083;\2000progdef\2000progdef\&#1045;&#1074;&#1075;&#1077;&#1085;&#1080;&#1103;\&#1040;&#1083;&#1056;&#1086;&#1089;&#1072;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0;&#1088;&#1080;&#1083;&#1083;&#1086;&#1074;\&#1086;&#1090;%20&#1052;&#1086;&#1085;&#1072;&#1093;&#1086;&#1074;&#1086;&#1081;\05102011%20&#1041;&#1040;&#1051;&#1040;&#1053;&#1057;\&#1057;&#1054;_0610\Voskhod%202504%20FORM3.1.2012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Z8CDCF3W\C&#1077;&#1090;_&#1041;&#1055;_002_02_(15_33)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JDANOVA\&#1060;&#1054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O\Kiiski\&#1060;-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6;&#1086;&#1074;&#1072;\&#1058;&#1072;&#1088;&#1080;&#1092;%202006%20&#1075;&#1086;&#1076;&#1072;%20-&#1088;&#1077;&#1075;&#1080;&#1086;&#10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2;&#1096;&#1086;&#1074;&#1072;\&#1060;&#1057;&#1058;%20&#1055;&#1088;&#1077;&#1076;&#1077;&#1083;&#1100;&#1085;&#1099;&#1077;%202007\&#1050;&#1072;&#1083;&#1091;&#1078;&#1089;&#1082;&#1072;&#1103;%20&#1086;&#1073;&#1083;&#1072;&#1089;&#1090;&#1100;%20&#1082;&#1086;&#1087;&#1080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69;&#1083;&#1077;&#1082;&#1090;&#1088;&#1086;%201%20&#1076;&#1077;&#1082;&#1072;&#1073;&#1088;&#1103;%202006\COMMON\JDANOVA\&#1060;&#1054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печать"/>
      <sheetName val="2004(2)"/>
      <sheetName val="2009(2)"/>
      <sheetName val="2002"/>
      <sheetName val="1999"/>
      <sheetName val="РасчетМЭРТИЦП"/>
      <sheetName val="I"/>
      <sheetName val="Лист13"/>
      <sheetName val="П2.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Калужская область</v>
          </cell>
        </row>
        <row r="10">
          <cell r="F10">
            <v>2012</v>
          </cell>
        </row>
        <row r="13">
          <cell r="F13" t="str">
            <v>ОАО "Восход" - Калужский радиоламповый завод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Лист1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Диаграмма1"/>
      <sheetName val="Диаграмма2"/>
      <sheetName val="Лист2"/>
      <sheetName val="Лист3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УП-31-1 (3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Прибыль по комп. по кв.2003г."/>
      <sheetName val="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ПГРЭС по месяца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  <sheetName val="Лист1"/>
      <sheetName val="Лист2"/>
      <sheetName val="Ф 3.1"/>
      <sheetName val="Лист3"/>
      <sheetName val="Лист4"/>
      <sheetName val="Лист5"/>
      <sheetName val="Лист6"/>
      <sheetName val="Лист7"/>
      <sheetName val="Лист8"/>
      <sheetName val="НВВ 2012-2014"/>
      <sheetName val="НВВ 2015-2019"/>
      <sheetName val="НВВ с коррект"/>
      <sheetName val="Коррект ПР"/>
      <sheetName val="Коррект НР"/>
      <sheetName val="Коррект по ПО"/>
      <sheetName val="Коррект Кнк (1)"/>
      <sheetName val="П1.17Ам"/>
      <sheetName val="П1.17.1"/>
      <sheetName val="Лист17"/>
      <sheetName val="Лист18"/>
      <sheetName val="Лист19"/>
      <sheetName val=" П1.18.2"/>
      <sheetName val="П1.21.3 приб."/>
      <sheetName val="П 1.24"/>
      <sheetName val="П1.25"/>
      <sheetName val="Лист25"/>
      <sheetName val="Лист29"/>
      <sheetName val="Sheet1"/>
      <sheetName val="Лист31"/>
      <sheetName val="П2.1"/>
      <sheetName val="П2.2.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60288.96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</v>
          </cell>
          <cell r="AA17">
            <v>336.87</v>
          </cell>
          <cell r="AD17">
            <v>220.32</v>
          </cell>
        </row>
        <row r="18">
          <cell r="G18">
            <v>31017.2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74.6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19.4</v>
          </cell>
          <cell r="M19">
            <v>67.6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519.8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80.6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4235.9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30149.6</v>
          </cell>
          <cell r="H41">
            <v>216.5</v>
          </cell>
          <cell r="I41">
            <v>72.7</v>
          </cell>
          <cell r="J41">
            <v>29.505</v>
          </cell>
          <cell r="K41">
            <v>315.6</v>
          </cell>
          <cell r="L41">
            <v>22</v>
          </cell>
          <cell r="M41">
            <v>33.98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136.7</v>
          </cell>
          <cell r="AC41">
            <v>179.62</v>
          </cell>
          <cell r="AD41">
            <v>58.87</v>
          </cell>
        </row>
        <row r="42">
          <cell r="G42">
            <v>2200.2</v>
          </cell>
          <cell r="H42">
            <v>68.36</v>
          </cell>
          <cell r="I42">
            <v>14.7</v>
          </cell>
          <cell r="J42">
            <v>10.36</v>
          </cell>
          <cell r="K42">
            <v>4.9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620.43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</v>
          </cell>
          <cell r="Q47">
            <v>3117.9</v>
          </cell>
          <cell r="R47">
            <v>545.82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</v>
          </cell>
          <cell r="Z47">
            <v>80.81</v>
          </cell>
          <cell r="AA47">
            <v>486.23</v>
          </cell>
          <cell r="AB47">
            <v>142.33</v>
          </cell>
          <cell r="AC47">
            <v>51.03</v>
          </cell>
          <cell r="AD47">
            <v>42.93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35894.969412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9040.122843</v>
          </cell>
          <cell r="AC14">
            <v>24877.258491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</v>
          </cell>
          <cell r="H18">
            <v>1604.38536</v>
          </cell>
          <cell r="I18">
            <v>432.99708</v>
          </cell>
          <cell r="J18">
            <v>305.3295</v>
          </cell>
          <cell r="K18">
            <v>168.10893</v>
          </cell>
          <cell r="L18">
            <v>80.34419999999999</v>
          </cell>
          <cell r="M18">
            <v>280.02</v>
          </cell>
          <cell r="N18">
            <v>0</v>
          </cell>
          <cell r="Q18">
            <v>299107.671</v>
          </cell>
          <cell r="R18">
            <v>1604.38536</v>
          </cell>
          <cell r="S18">
            <v>432.99708</v>
          </cell>
          <cell r="T18">
            <v>305.3295</v>
          </cell>
          <cell r="U18">
            <v>168.10893</v>
          </cell>
          <cell r="V18">
            <v>80.34419999999999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2128.60434</v>
          </cell>
          <cell r="AD18">
            <v>1125.8958</v>
          </cell>
          <cell r="AE18">
            <v>0</v>
          </cell>
        </row>
        <row r="19">
          <cell r="G19">
            <v>8819.0145</v>
          </cell>
          <cell r="H19">
            <v>423.56255999999996</v>
          </cell>
          <cell r="I19">
            <v>114.31277999999999</v>
          </cell>
          <cell r="J19">
            <v>80.55959999999999</v>
          </cell>
          <cell r="K19">
            <v>44.3724</v>
          </cell>
          <cell r="L19">
            <v>20.8938</v>
          </cell>
          <cell r="M19">
            <v>72.80519999999999</v>
          </cell>
          <cell r="N19">
            <v>0</v>
          </cell>
          <cell r="Q19">
            <v>78964.563</v>
          </cell>
          <cell r="R19">
            <v>423.56255999999996</v>
          </cell>
          <cell r="S19">
            <v>114.31277999999999</v>
          </cell>
          <cell r="T19">
            <v>80.55959999999999</v>
          </cell>
          <cell r="U19">
            <v>44.3724</v>
          </cell>
          <cell r="V19">
            <v>20.8938</v>
          </cell>
          <cell r="W19">
            <v>72.80519999999999</v>
          </cell>
          <cell r="Z19">
            <v>462.03299999999996</v>
          </cell>
          <cell r="AA19">
            <v>4824.16302</v>
          </cell>
          <cell r="AB19">
            <v>542.7003</v>
          </cell>
          <cell r="AC19">
            <v>559.8245999999999</v>
          </cell>
          <cell r="AD19">
            <v>297.23046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</v>
          </cell>
          <cell r="AE20">
            <v>0</v>
          </cell>
        </row>
        <row r="21">
          <cell r="G21">
            <v>1280685.24675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9019.8038</v>
          </cell>
          <cell r="I31">
            <v>3467.6998999999996</v>
          </cell>
          <cell r="J31">
            <v>1462.1480999999999</v>
          </cell>
          <cell r="K31">
            <v>671.1949999999999</v>
          </cell>
          <cell r="L31">
            <v>138.7841</v>
          </cell>
          <cell r="M31">
            <v>304.9445</v>
          </cell>
          <cell r="N31">
            <v>0</v>
          </cell>
          <cell r="Q31">
            <v>264858.832</v>
          </cell>
          <cell r="R31">
            <v>9019.8038</v>
          </cell>
          <cell r="S31">
            <v>3467.6998999999996</v>
          </cell>
          <cell r="T31">
            <v>1462.1480999999999</v>
          </cell>
          <cell r="U31">
            <v>671.1949999999999</v>
          </cell>
          <cell r="V31">
            <v>138.7841</v>
          </cell>
          <cell r="W31">
            <v>304.9445</v>
          </cell>
          <cell r="Z31">
            <v>2168.30866</v>
          </cell>
          <cell r="AA31">
            <v>22304.528609999998</v>
          </cell>
          <cell r="AB31">
            <v>1063.6590999999999</v>
          </cell>
          <cell r="AC31">
            <v>1595.58378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228.8405</v>
          </cell>
          <cell r="I41">
            <v>76.8439</v>
          </cell>
          <cell r="J41">
            <v>31.186784999999997</v>
          </cell>
          <cell r="K41">
            <v>333.5892</v>
          </cell>
          <cell r="L41">
            <v>23.253999999999998</v>
          </cell>
          <cell r="M41">
            <v>35.91685999999999</v>
          </cell>
          <cell r="N41">
            <v>0</v>
          </cell>
          <cell r="Q41">
            <v>51098.98437</v>
          </cell>
          <cell r="R41">
            <v>228.8405</v>
          </cell>
          <cell r="S41">
            <v>76.8439</v>
          </cell>
          <cell r="T41">
            <v>31.186784999999997</v>
          </cell>
          <cell r="U41">
            <v>333.5892</v>
          </cell>
          <cell r="V41">
            <v>23.253999999999998</v>
          </cell>
          <cell r="W41">
            <v>35.91685999999999</v>
          </cell>
          <cell r="Z41">
            <v>349.4442</v>
          </cell>
          <cell r="AA41">
            <v>716.0117999999999</v>
          </cell>
          <cell r="AB41">
            <v>144.4919</v>
          </cell>
          <cell r="AC41">
            <v>189.85834</v>
          </cell>
          <cell r="AD41">
            <v>62.22559</v>
          </cell>
          <cell r="AE41">
            <v>0</v>
          </cell>
        </row>
        <row r="42">
          <cell r="G42">
            <v>2325.6114</v>
          </cell>
          <cell r="H42">
            <v>72.25652</v>
          </cell>
          <cell r="I42">
            <v>15.537899999999999</v>
          </cell>
          <cell r="J42">
            <v>10.95052</v>
          </cell>
          <cell r="K42">
            <v>5.1793000000000005</v>
          </cell>
          <cell r="L42">
            <v>7.0819</v>
          </cell>
          <cell r="M42">
            <v>14.0581</v>
          </cell>
          <cell r="N42">
            <v>0</v>
          </cell>
          <cell r="Q42">
            <v>29129.27108</v>
          </cell>
          <cell r="R42">
            <v>72.25652</v>
          </cell>
          <cell r="S42">
            <v>15.537899999999999</v>
          </cell>
          <cell r="T42">
            <v>10.95052</v>
          </cell>
          <cell r="U42">
            <v>5.1793000000000005</v>
          </cell>
          <cell r="V42">
            <v>7.0819</v>
          </cell>
          <cell r="W42">
            <v>14.0581</v>
          </cell>
          <cell r="Z42">
            <v>655.79451</v>
          </cell>
          <cell r="AA42">
            <v>1747.0095999999999</v>
          </cell>
          <cell r="AB42">
            <v>85.40559999999999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553.03901532</v>
          </cell>
          <cell r="I47">
            <v>240.73236534</v>
          </cell>
          <cell r="J47">
            <v>63.326625</v>
          </cell>
          <cell r="K47">
            <v>52.3837842</v>
          </cell>
          <cell r="L47">
            <v>7.97408862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553.03901532</v>
          </cell>
          <cell r="S47">
            <v>240.73236534</v>
          </cell>
          <cell r="T47">
            <v>63.326625</v>
          </cell>
          <cell r="U47">
            <v>52.3837842</v>
          </cell>
          <cell r="V47">
            <v>7.97408862</v>
          </cell>
          <cell r="W47">
            <v>18.03035667</v>
          </cell>
          <cell r="Z47">
            <v>81.87879305999999</v>
          </cell>
          <cell r="AA47">
            <v>492.66087798</v>
          </cell>
          <cell r="AB47">
            <v>144.21245658</v>
          </cell>
          <cell r="AC47">
            <v>51.70492278</v>
          </cell>
          <cell r="AD47">
            <v>43.49779218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9093.91785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</v>
          </cell>
          <cell r="H18">
            <v>1604.38536</v>
          </cell>
          <cell r="I18">
            <v>432.99708</v>
          </cell>
          <cell r="J18">
            <v>305.3295</v>
          </cell>
          <cell r="K18">
            <v>168.10893</v>
          </cell>
          <cell r="L18">
            <v>80.34419999999999</v>
          </cell>
          <cell r="M18">
            <v>280.02</v>
          </cell>
          <cell r="N18">
            <v>0</v>
          </cell>
          <cell r="Q18">
            <v>299107.671</v>
          </cell>
          <cell r="R18">
            <v>1604.38536</v>
          </cell>
          <cell r="S18">
            <v>432.99708</v>
          </cell>
          <cell r="T18">
            <v>305.3295</v>
          </cell>
          <cell r="U18">
            <v>168.10893</v>
          </cell>
          <cell r="V18">
            <v>80.34419999999999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2128.60434</v>
          </cell>
          <cell r="AD18">
            <v>1125.8958</v>
          </cell>
          <cell r="AE18">
            <v>0</v>
          </cell>
        </row>
        <row r="19">
          <cell r="G19">
            <v>8819.0145</v>
          </cell>
          <cell r="H19">
            <v>423.56255999999996</v>
          </cell>
          <cell r="I19">
            <v>114.31277999999999</v>
          </cell>
          <cell r="J19">
            <v>80.55959999999999</v>
          </cell>
          <cell r="K19">
            <v>44.3724</v>
          </cell>
          <cell r="L19">
            <v>20.8938</v>
          </cell>
          <cell r="M19">
            <v>72.80519999999999</v>
          </cell>
          <cell r="N19">
            <v>0</v>
          </cell>
          <cell r="Q19">
            <v>78964.563</v>
          </cell>
          <cell r="R19">
            <v>423.56255999999996</v>
          </cell>
          <cell r="S19">
            <v>114.31277999999999</v>
          </cell>
          <cell r="T19">
            <v>80.55959999999999</v>
          </cell>
          <cell r="U19">
            <v>44.3724</v>
          </cell>
          <cell r="V19">
            <v>20.8938</v>
          </cell>
          <cell r="W19">
            <v>72.80519999999999</v>
          </cell>
          <cell r="Z19">
            <v>462.03299999999996</v>
          </cell>
          <cell r="AA19">
            <v>4824.16302</v>
          </cell>
          <cell r="AB19">
            <v>542.7003</v>
          </cell>
          <cell r="AC19">
            <v>559.8245999999999</v>
          </cell>
          <cell r="AD19">
            <v>297.23046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</v>
          </cell>
          <cell r="AA20">
            <v>38702.5944</v>
          </cell>
          <cell r="AB20">
            <v>15.402</v>
          </cell>
          <cell r="AC20">
            <v>195.6054</v>
          </cell>
          <cell r="AD20">
            <v>39.984</v>
          </cell>
          <cell r="AE20">
            <v>0</v>
          </cell>
        </row>
        <row r="21">
          <cell r="G21">
            <v>1280685.24675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9019.8038</v>
          </cell>
          <cell r="I31">
            <v>3467.6998999999996</v>
          </cell>
          <cell r="J31">
            <v>1462.1480999999999</v>
          </cell>
          <cell r="K31">
            <v>671.1949999999999</v>
          </cell>
          <cell r="L31">
            <v>138.7841</v>
          </cell>
          <cell r="M31">
            <v>304.9445</v>
          </cell>
          <cell r="N31">
            <v>0</v>
          </cell>
          <cell r="Q31">
            <v>264858.832</v>
          </cell>
          <cell r="R31">
            <v>9019.8038</v>
          </cell>
          <cell r="S31">
            <v>3467.6998999999996</v>
          </cell>
          <cell r="T31">
            <v>1462.1480999999999</v>
          </cell>
          <cell r="U31">
            <v>671.1949999999999</v>
          </cell>
          <cell r="V31">
            <v>138.7841</v>
          </cell>
          <cell r="W31">
            <v>304.9445</v>
          </cell>
          <cell r="Z31">
            <v>2168.30866</v>
          </cell>
          <cell r="AA31">
            <v>22304.528609999998</v>
          </cell>
          <cell r="AB31">
            <v>1063.6590999999999</v>
          </cell>
          <cell r="AC31">
            <v>1595.58378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228.8405</v>
          </cell>
          <cell r="I41">
            <v>76.8439</v>
          </cell>
          <cell r="J41">
            <v>31.186784999999997</v>
          </cell>
          <cell r="K41">
            <v>333.5892</v>
          </cell>
          <cell r="L41">
            <v>23.253999999999998</v>
          </cell>
          <cell r="M41">
            <v>35.91685999999999</v>
          </cell>
          <cell r="N41">
            <v>0</v>
          </cell>
          <cell r="Q41">
            <v>51098.98437</v>
          </cell>
          <cell r="R41">
            <v>228.8405</v>
          </cell>
          <cell r="S41">
            <v>76.8439</v>
          </cell>
          <cell r="T41">
            <v>31.186784999999997</v>
          </cell>
          <cell r="U41">
            <v>333.5892</v>
          </cell>
          <cell r="V41">
            <v>23.253999999999998</v>
          </cell>
          <cell r="W41">
            <v>35.91685999999999</v>
          </cell>
          <cell r="Z41">
            <v>349.4442</v>
          </cell>
          <cell r="AA41">
            <v>716.0117999999999</v>
          </cell>
          <cell r="AB41">
            <v>144.4919</v>
          </cell>
          <cell r="AC41">
            <v>189.85834</v>
          </cell>
          <cell r="AD41">
            <v>62.22559</v>
          </cell>
          <cell r="AE41">
            <v>0</v>
          </cell>
        </row>
        <row r="42">
          <cell r="G42">
            <v>2325.6114</v>
          </cell>
          <cell r="H42">
            <v>72.25652</v>
          </cell>
          <cell r="I42">
            <v>15.537899999999999</v>
          </cell>
          <cell r="J42">
            <v>10.95052</v>
          </cell>
          <cell r="K42">
            <v>5.1793000000000005</v>
          </cell>
          <cell r="L42">
            <v>7.0819</v>
          </cell>
          <cell r="M42">
            <v>14.0581</v>
          </cell>
          <cell r="N42">
            <v>0</v>
          </cell>
          <cell r="Q42">
            <v>29129.27108</v>
          </cell>
          <cell r="R42">
            <v>72.25652</v>
          </cell>
          <cell r="S42">
            <v>15.537899999999999</v>
          </cell>
          <cell r="T42">
            <v>10.95052</v>
          </cell>
          <cell r="U42">
            <v>5.1793000000000005</v>
          </cell>
          <cell r="V42">
            <v>7.0819</v>
          </cell>
          <cell r="W42">
            <v>14.0581</v>
          </cell>
          <cell r="Z42">
            <v>655.79451</v>
          </cell>
          <cell r="AA42">
            <v>1747.0095999999999</v>
          </cell>
          <cell r="AB42">
            <v>85.40559999999999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553.03901532</v>
          </cell>
          <cell r="I47">
            <v>240.73236534</v>
          </cell>
          <cell r="J47">
            <v>63.326625</v>
          </cell>
          <cell r="K47">
            <v>52.3837842</v>
          </cell>
          <cell r="L47">
            <v>7.97408862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553.03901532</v>
          </cell>
          <cell r="S47">
            <v>240.73236534</v>
          </cell>
          <cell r="T47">
            <v>63.326625</v>
          </cell>
          <cell r="U47">
            <v>52.3837842</v>
          </cell>
          <cell r="V47">
            <v>7.97408862</v>
          </cell>
          <cell r="W47">
            <v>18.03035667</v>
          </cell>
          <cell r="Z47">
            <v>81.87879305999999</v>
          </cell>
          <cell r="AA47">
            <v>492.66087798</v>
          </cell>
          <cell r="AB47">
            <v>144.21245658</v>
          </cell>
          <cell r="AC47">
            <v>51.70492278</v>
          </cell>
          <cell r="AD47">
            <v>43.49779218</v>
          </cell>
          <cell r="AE4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6.375" style="0" customWidth="1"/>
    <col min="3" max="3" width="47.25390625" style="0" customWidth="1"/>
    <col min="4" max="4" width="10.00390625" style="0" customWidth="1"/>
    <col min="5" max="5" width="11.125" style="0" customWidth="1"/>
    <col min="6" max="6" width="13.875" style="0" customWidth="1"/>
  </cols>
  <sheetData>
    <row r="1" ht="12.75">
      <c r="A1" s="53" t="s">
        <v>1610</v>
      </c>
    </row>
    <row r="2" ht="13.5" thickBot="1">
      <c r="A2" s="53" t="s">
        <v>1611</v>
      </c>
    </row>
    <row r="3" spans="2:6" ht="12.75">
      <c r="B3" s="1737" t="s">
        <v>1416</v>
      </c>
      <c r="C3" s="1738"/>
      <c r="D3" s="1739"/>
      <c r="E3" s="14"/>
      <c r="F3" s="1743" t="s">
        <v>1419</v>
      </c>
    </row>
    <row r="4" spans="2:6" ht="13.5" thickBot="1">
      <c r="B4" s="1740"/>
      <c r="C4" s="1741"/>
      <c r="D4" s="1742"/>
      <c r="E4" s="15"/>
      <c r="F4" s="1744"/>
    </row>
    <row r="5" spans="2:6" ht="28.5" customHeight="1">
      <c r="B5" s="13" t="s">
        <v>1418</v>
      </c>
      <c r="C5" s="3" t="s">
        <v>1382</v>
      </c>
      <c r="D5" s="3" t="s">
        <v>1413</v>
      </c>
      <c r="E5" s="3" t="s">
        <v>1414</v>
      </c>
      <c r="F5" s="4" t="s">
        <v>1415</v>
      </c>
    </row>
    <row r="6" spans="2:6" ht="12.75">
      <c r="B6" s="5">
        <v>1</v>
      </c>
      <c r="C6" s="1">
        <v>2</v>
      </c>
      <c r="D6" s="1">
        <v>3</v>
      </c>
      <c r="E6" s="1">
        <v>4</v>
      </c>
      <c r="F6" s="6">
        <v>5</v>
      </c>
    </row>
    <row r="7" spans="2:6" ht="12.75">
      <c r="B7" s="5" t="s">
        <v>1383</v>
      </c>
      <c r="C7" s="2" t="s">
        <v>1395</v>
      </c>
      <c r="D7" s="1" t="s">
        <v>1396</v>
      </c>
      <c r="E7" s="1"/>
      <c r="F7" s="6"/>
    </row>
    <row r="8" spans="2:6" ht="25.5">
      <c r="B8" s="5" t="s">
        <v>1397</v>
      </c>
      <c r="C8" s="2" t="s">
        <v>1410</v>
      </c>
      <c r="D8" s="1"/>
      <c r="E8" s="1"/>
      <c r="F8" s="6"/>
    </row>
    <row r="9" spans="2:6" ht="25.5">
      <c r="B9" s="5" t="s">
        <v>1398</v>
      </c>
      <c r="C9" s="2" t="s">
        <v>1411</v>
      </c>
      <c r="D9" s="1"/>
      <c r="E9" s="1"/>
      <c r="F9" s="6"/>
    </row>
    <row r="10" spans="2:6" ht="12.75">
      <c r="B10" s="5" t="s">
        <v>1399</v>
      </c>
      <c r="C10" s="2" t="s">
        <v>1400</v>
      </c>
      <c r="D10" s="1"/>
      <c r="E10" s="1"/>
      <c r="F10" s="6"/>
    </row>
    <row r="11" spans="2:6" ht="12.75">
      <c r="B11" s="5" t="s">
        <v>1398</v>
      </c>
      <c r="C11" s="2" t="s">
        <v>1401</v>
      </c>
      <c r="D11" s="1"/>
      <c r="E11" s="1"/>
      <c r="F11" s="6"/>
    </row>
    <row r="12" spans="2:6" ht="25.5">
      <c r="B12" s="5" t="s">
        <v>1402</v>
      </c>
      <c r="C12" s="2" t="s">
        <v>1412</v>
      </c>
      <c r="D12" s="1"/>
      <c r="E12" s="1"/>
      <c r="F12" s="6"/>
    </row>
    <row r="13" spans="2:6" ht="12.75">
      <c r="B13" s="5" t="s">
        <v>1403</v>
      </c>
      <c r="C13" s="2" t="s">
        <v>1404</v>
      </c>
      <c r="D13" s="1"/>
      <c r="E13" s="1"/>
      <c r="F13" s="6"/>
    </row>
    <row r="14" spans="2:6" ht="12.75">
      <c r="B14" s="5" t="s">
        <v>1405</v>
      </c>
      <c r="C14" s="2" t="s">
        <v>1406</v>
      </c>
      <c r="D14" s="1"/>
      <c r="E14" s="1"/>
      <c r="F14" s="6"/>
    </row>
    <row r="15" spans="2:6" ht="13.5" thickBot="1">
      <c r="B15" s="7" t="s">
        <v>1407</v>
      </c>
      <c r="C15" s="8" t="s">
        <v>1409</v>
      </c>
      <c r="D15" s="9"/>
      <c r="E15" s="9"/>
      <c r="F15" s="10"/>
    </row>
    <row r="16" ht="13.5" thickBot="1"/>
    <row r="17" spans="2:6" ht="12.75">
      <c r="B17" s="1737" t="s">
        <v>1470</v>
      </c>
      <c r="C17" s="1738"/>
      <c r="D17" s="1739"/>
      <c r="E17" s="14"/>
      <c r="F17" s="1743" t="s">
        <v>1471</v>
      </c>
    </row>
    <row r="18" spans="2:6" ht="13.5" thickBot="1">
      <c r="B18" s="1745"/>
      <c r="C18" s="1746"/>
      <c r="D18" s="1747"/>
      <c r="E18" s="15"/>
      <c r="F18" s="1748"/>
    </row>
    <row r="19" spans="2:6" ht="38.25">
      <c r="B19" s="13" t="s">
        <v>1418</v>
      </c>
      <c r="C19" s="3" t="s">
        <v>1382</v>
      </c>
      <c r="D19" s="3" t="s">
        <v>1413</v>
      </c>
      <c r="E19" s="3" t="s">
        <v>1414</v>
      </c>
      <c r="F19" s="4" t="s">
        <v>1415</v>
      </c>
    </row>
    <row r="20" spans="2:6" ht="12.75">
      <c r="B20" s="5">
        <v>1</v>
      </c>
      <c r="C20" s="1">
        <v>2</v>
      </c>
      <c r="D20" s="1">
        <v>3</v>
      </c>
      <c r="E20" s="1">
        <v>4</v>
      </c>
      <c r="F20" s="6">
        <v>5</v>
      </c>
    </row>
    <row r="21" spans="2:6" ht="12.75">
      <c r="B21" s="5" t="s">
        <v>1420</v>
      </c>
      <c r="C21" s="2" t="s">
        <v>1421</v>
      </c>
      <c r="D21" s="1" t="s">
        <v>1396</v>
      </c>
      <c r="E21" s="1"/>
      <c r="F21" s="6"/>
    </row>
    <row r="22" spans="2:6" ht="12.75">
      <c r="B22" s="5" t="s">
        <v>1422</v>
      </c>
      <c r="C22" s="2" t="s">
        <v>1423</v>
      </c>
      <c r="D22" s="1"/>
      <c r="E22" s="1"/>
      <c r="F22" s="6"/>
    </row>
    <row r="23" spans="2:6" ht="12.75">
      <c r="B23" s="5" t="s">
        <v>1424</v>
      </c>
      <c r="C23" s="2" t="s">
        <v>1425</v>
      </c>
      <c r="D23" s="1"/>
      <c r="E23" s="1"/>
      <c r="F23" s="6"/>
    </row>
    <row r="24" spans="2:6" ht="12.75">
      <c r="B24" s="5" t="s">
        <v>1426</v>
      </c>
      <c r="C24" s="2" t="s">
        <v>1427</v>
      </c>
      <c r="D24" s="1"/>
      <c r="E24" s="1"/>
      <c r="F24" s="6"/>
    </row>
    <row r="25" spans="2:6" ht="12.75">
      <c r="B25" s="5" t="s">
        <v>1428</v>
      </c>
      <c r="C25" s="2" t="s">
        <v>1454</v>
      </c>
      <c r="D25" s="1"/>
      <c r="E25" s="1"/>
      <c r="F25" s="6"/>
    </row>
    <row r="26" spans="2:6" ht="12.75">
      <c r="B26" s="5" t="s">
        <v>1455</v>
      </c>
      <c r="C26" s="2" t="s">
        <v>1456</v>
      </c>
      <c r="D26" s="1"/>
      <c r="E26" s="1"/>
      <c r="F26" s="6"/>
    </row>
    <row r="27" spans="2:6" ht="12.75">
      <c r="B27" s="5" t="s">
        <v>1457</v>
      </c>
      <c r="C27" s="2" t="s">
        <v>1458</v>
      </c>
      <c r="D27" s="1"/>
      <c r="E27" s="1"/>
      <c r="F27" s="6"/>
    </row>
    <row r="28" spans="2:6" ht="25.5">
      <c r="B28" s="5" t="s">
        <v>1459</v>
      </c>
      <c r="C28" s="2" t="s">
        <v>1472</v>
      </c>
      <c r="D28" s="1"/>
      <c r="E28" s="1"/>
      <c r="F28" s="6"/>
    </row>
    <row r="29" spans="2:6" ht="12.75">
      <c r="B29" s="5" t="s">
        <v>1399</v>
      </c>
      <c r="C29" s="2" t="s">
        <v>1473</v>
      </c>
      <c r="D29" s="1"/>
      <c r="E29" s="1"/>
      <c r="F29" s="6"/>
    </row>
    <row r="30" spans="2:6" ht="14.25" customHeight="1">
      <c r="B30" s="5"/>
      <c r="C30" s="2" t="s">
        <v>1460</v>
      </c>
      <c r="D30" s="1"/>
      <c r="E30" s="1"/>
      <c r="F30" s="6"/>
    </row>
    <row r="31" spans="2:6" ht="12.75">
      <c r="B31" s="5"/>
      <c r="C31" s="2" t="s">
        <v>1461</v>
      </c>
      <c r="D31" s="1"/>
      <c r="E31" s="1"/>
      <c r="F31" s="6"/>
    </row>
    <row r="32" spans="2:6" ht="13.5" thickBot="1">
      <c r="B32" s="7"/>
      <c r="C32" s="8" t="s">
        <v>1462</v>
      </c>
      <c r="D32" s="9"/>
      <c r="E32" s="9"/>
      <c r="F32" s="10"/>
    </row>
  </sheetData>
  <sheetProtection/>
  <mergeCells count="4">
    <mergeCell ref="B3:D4"/>
    <mergeCell ref="F3:F4"/>
    <mergeCell ref="B17:D18"/>
    <mergeCell ref="F17:F1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2"/>
  <sheetViews>
    <sheetView zoomScalePageLayoutView="0" workbookViewId="0" topLeftCell="A4">
      <selection activeCell="D36" sqref="D3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60.25390625" style="0" customWidth="1"/>
    <col min="4" max="6" width="15.75390625" style="0" customWidth="1"/>
    <col min="7" max="8" width="15.25390625" style="0" customWidth="1"/>
    <col min="9" max="9" width="15.375" style="0" customWidth="1"/>
    <col min="10" max="10" width="15.875" style="0" customWidth="1"/>
    <col min="11" max="11" width="9.25390625" style="0" customWidth="1"/>
  </cols>
  <sheetData>
    <row r="1" spans="7:9" ht="12.75">
      <c r="G1" s="475">
        <f>G12+G10+G9</f>
        <v>630.4</v>
      </c>
      <c r="I1" s="475">
        <f>I12+I10+I9</f>
        <v>179.504</v>
      </c>
    </row>
    <row r="2" ht="12.75">
      <c r="G2">
        <f>(G10+G12+G15+G23)/G3</f>
        <v>2.68702335205439</v>
      </c>
    </row>
    <row r="3" spans="4:10" ht="12.75">
      <c r="D3" s="475">
        <f>D18+D20</f>
        <v>347.48145072</v>
      </c>
      <c r="G3" s="475">
        <f>G9+G10</f>
        <v>338.29999999999995</v>
      </c>
      <c r="H3" s="475"/>
      <c r="I3" s="475"/>
      <c r="J3" s="475"/>
    </row>
    <row r="4" spans="4:10" ht="13.5" thickBot="1">
      <c r="D4" s="475">
        <f>D9+D10+D12+D15</f>
        <v>252.41432000000003</v>
      </c>
      <c r="E4" s="475"/>
      <c r="F4" s="475"/>
      <c r="G4" s="475">
        <f>G9+G10+G12+G15</f>
        <v>674.22</v>
      </c>
      <c r="H4" s="475"/>
      <c r="I4" s="475"/>
      <c r="J4" s="475"/>
    </row>
    <row r="5" spans="2:10" ht="12.75">
      <c r="B5" s="1754" t="s">
        <v>2532</v>
      </c>
      <c r="C5" s="1884"/>
      <c r="D5" s="852"/>
      <c r="E5" s="852"/>
      <c r="F5" s="852"/>
      <c r="G5" s="1876" t="s">
        <v>550</v>
      </c>
      <c r="H5" s="1887"/>
      <c r="I5" s="1888"/>
      <c r="J5" s="998"/>
    </row>
    <row r="6" spans="2:10" ht="13.5" thickBot="1">
      <c r="B6" s="1885"/>
      <c r="C6" s="1886"/>
      <c r="D6" s="853"/>
      <c r="E6" s="853"/>
      <c r="F6" s="853"/>
      <c r="G6" s="1889"/>
      <c r="H6" s="1890"/>
      <c r="I6" s="1891"/>
      <c r="J6" s="998"/>
    </row>
    <row r="7" spans="2:13" ht="54" customHeight="1" thickBot="1">
      <c r="B7" s="359" t="s">
        <v>1417</v>
      </c>
      <c r="C7" s="493" t="s">
        <v>294</v>
      </c>
      <c r="D7" s="136" t="s">
        <v>2290</v>
      </c>
      <c r="E7" s="136" t="s">
        <v>2289</v>
      </c>
      <c r="F7" s="136" t="s">
        <v>1189</v>
      </c>
      <c r="G7" s="549" t="s">
        <v>1388</v>
      </c>
      <c r="H7" s="1110" t="s">
        <v>265</v>
      </c>
      <c r="I7" s="1110" t="s">
        <v>1389</v>
      </c>
      <c r="J7" s="1001"/>
      <c r="K7" s="124"/>
      <c r="L7" s="124"/>
      <c r="M7" t="s">
        <v>1408</v>
      </c>
    </row>
    <row r="8" spans="2:13" ht="12.75">
      <c r="B8" s="38">
        <v>1</v>
      </c>
      <c r="C8" s="481">
        <v>2</v>
      </c>
      <c r="D8" s="482">
        <v>3</v>
      </c>
      <c r="E8" s="482"/>
      <c r="F8" s="482"/>
      <c r="G8" s="374">
        <v>4</v>
      </c>
      <c r="H8" s="374"/>
      <c r="I8" s="374"/>
      <c r="J8" s="1001"/>
      <c r="K8" s="124"/>
      <c r="L8" s="124"/>
      <c r="M8">
        <f>(216+674+210+85+22+5+9+245+27+3+10+20+7+348+52+26+5+94+74+25+25+22+5+3+15+8+18*3+3+5410+1450+1500+2058+380+350+330+8+30+4+7+9+2+47+22+18*3+247+1700+10+20+7+2+7+3+4+6+10+11+7+10+15+2+16+10+10+5+7+3+4+8+13+13+20+2+1100+20+20+7+27+2+11+7+32+7+16+11+8+24+2+3+4+8+13+13+20+2+454*2+675+588+700+588+5+18)/1000</f>
        <v>20.964</v>
      </c>
    </row>
    <row r="9" spans="2:12" ht="12.75">
      <c r="B9" s="125" t="s">
        <v>1565</v>
      </c>
      <c r="C9" s="494" t="s">
        <v>295</v>
      </c>
      <c r="D9" s="502">
        <v>86.6</v>
      </c>
      <c r="E9" s="502">
        <f>D9</f>
        <v>86.6</v>
      </c>
      <c r="F9" s="502">
        <v>86.6</v>
      </c>
      <c r="G9" s="502">
        <v>43.9</v>
      </c>
      <c r="H9" s="502">
        <f>F9*107.9%</f>
        <v>93.44139999999999</v>
      </c>
      <c r="I9" s="502">
        <f>G9</f>
        <v>43.9</v>
      </c>
      <c r="J9" s="1004"/>
      <c r="K9" s="124"/>
      <c r="L9" s="124"/>
    </row>
    <row r="10" spans="2:12" ht="15" customHeight="1">
      <c r="B10" s="125" t="s">
        <v>1597</v>
      </c>
      <c r="C10" s="494" t="s">
        <v>296</v>
      </c>
      <c r="D10" s="860">
        <f>(41.466+20.51)*1.07</f>
        <v>66.31432000000001</v>
      </c>
      <c r="E10" s="860">
        <f>D10</f>
        <v>66.31432000000001</v>
      </c>
      <c r="F10" s="860">
        <v>66.314</v>
      </c>
      <c r="G10" s="860">
        <v>294.4</v>
      </c>
      <c r="H10" s="860">
        <f>F10*107.9%</f>
        <v>71.55280599999999</v>
      </c>
      <c r="I10" s="860">
        <v>57.7</v>
      </c>
      <c r="J10" s="1004"/>
      <c r="K10" s="124"/>
      <c r="L10" s="124"/>
    </row>
    <row r="11" spans="2:12" ht="12.75">
      <c r="B11" s="125"/>
      <c r="C11" s="494" t="s">
        <v>297</v>
      </c>
      <c r="D11" s="502"/>
      <c r="E11" s="502"/>
      <c r="F11" s="502"/>
      <c r="G11" s="502">
        <v>294.4</v>
      </c>
      <c r="H11" s="502"/>
      <c r="I11" s="502"/>
      <c r="J11" s="1004"/>
      <c r="K11" s="124"/>
      <c r="L11" s="124"/>
    </row>
    <row r="12" spans="2:12" ht="14.25" customHeight="1">
      <c r="B12" s="125" t="s">
        <v>1598</v>
      </c>
      <c r="C12" s="494" t="s">
        <v>551</v>
      </c>
      <c r="D12" s="860">
        <v>72.2</v>
      </c>
      <c r="E12" s="860">
        <f>D12</f>
        <v>72.2</v>
      </c>
      <c r="F12" s="860">
        <v>72.2</v>
      </c>
      <c r="G12" s="860">
        <v>292.1</v>
      </c>
      <c r="H12" s="860">
        <f>F12*107.9%</f>
        <v>77.9038</v>
      </c>
      <c r="I12" s="860">
        <v>77.904</v>
      </c>
      <c r="J12" s="1004"/>
      <c r="K12" s="834"/>
      <c r="L12" s="807"/>
    </row>
    <row r="13" spans="2:12" ht="12.75">
      <c r="B13" s="125"/>
      <c r="C13" s="494" t="s">
        <v>297</v>
      </c>
      <c r="D13" s="502"/>
      <c r="E13" s="502"/>
      <c r="F13" s="502"/>
      <c r="G13" s="502"/>
      <c r="H13" s="502"/>
      <c r="I13" s="502"/>
      <c r="J13" s="1004"/>
      <c r="K13" s="124"/>
      <c r="L13" s="124"/>
    </row>
    <row r="14" spans="2:12" ht="12.75">
      <c r="B14" s="125" t="s">
        <v>1599</v>
      </c>
      <c r="C14" s="494" t="s">
        <v>298</v>
      </c>
      <c r="D14" s="502"/>
      <c r="E14" s="502"/>
      <c r="F14" s="502"/>
      <c r="G14" s="502"/>
      <c r="H14" s="502"/>
      <c r="I14" s="502"/>
      <c r="J14" s="1004"/>
      <c r="K14" s="124"/>
      <c r="L14" s="124"/>
    </row>
    <row r="15" spans="2:12" ht="12.75">
      <c r="B15" s="125" t="s">
        <v>299</v>
      </c>
      <c r="C15" s="494" t="s">
        <v>300</v>
      </c>
      <c r="D15" s="502">
        <v>27.3</v>
      </c>
      <c r="E15" s="502">
        <f>D15</f>
        <v>27.3</v>
      </c>
      <c r="F15" s="502">
        <v>34.398</v>
      </c>
      <c r="G15" s="502">
        <v>43.82</v>
      </c>
      <c r="H15" s="502">
        <f>F15*113.5%</f>
        <v>39.04173</v>
      </c>
      <c r="I15" s="502">
        <v>39.558</v>
      </c>
      <c r="J15" s="1004"/>
      <c r="K15" s="124"/>
      <c r="L15" s="124"/>
    </row>
    <row r="16" spans="2:13" ht="25.5">
      <c r="B16" s="125" t="s">
        <v>301</v>
      </c>
      <c r="C16" s="494" t="s">
        <v>552</v>
      </c>
      <c r="D16" s="502"/>
      <c r="E16" s="502"/>
      <c r="F16" s="502"/>
      <c r="G16" s="502"/>
      <c r="H16" s="502"/>
      <c r="I16" s="502"/>
      <c r="J16" s="1004"/>
      <c r="K16" s="124"/>
      <c r="L16" s="124"/>
      <c r="M16" s="785"/>
    </row>
    <row r="17" spans="2:12" ht="12.75">
      <c r="B17" s="125" t="s">
        <v>302</v>
      </c>
      <c r="C17" s="494" t="s">
        <v>303</v>
      </c>
      <c r="D17" s="502">
        <v>27.3</v>
      </c>
      <c r="E17" s="502">
        <f>D17</f>
        <v>27.3</v>
      </c>
      <c r="F17" s="502">
        <v>34.398</v>
      </c>
      <c r="G17" s="502"/>
      <c r="H17" s="502"/>
      <c r="I17" s="502"/>
      <c r="J17" s="1004"/>
      <c r="K17" s="124"/>
      <c r="L17" s="124"/>
    </row>
    <row r="18" spans="2:12" ht="12.75">
      <c r="B18" s="125" t="s">
        <v>304</v>
      </c>
      <c r="C18" s="494" t="s">
        <v>305</v>
      </c>
      <c r="D18" s="863">
        <f>'П1.16'!E31</f>
        <v>274.47192</v>
      </c>
      <c r="E18" s="863">
        <f>D18</f>
        <v>274.47192</v>
      </c>
      <c r="F18" s="863">
        <v>458.596</v>
      </c>
      <c r="G18" s="863">
        <v>956.6</v>
      </c>
      <c r="H18" s="863">
        <f>F18*108.7%</f>
        <v>498.493852</v>
      </c>
      <c r="I18" s="863" t="e">
        <f>814.507*'НВВ 1'!#REF!</f>
        <v>#REF!</v>
      </c>
      <c r="J18" s="1004"/>
      <c r="K18" s="124"/>
      <c r="L18" s="124"/>
    </row>
    <row r="19" spans="2:12" ht="12.75">
      <c r="B19" s="125"/>
      <c r="C19" s="494" t="s">
        <v>297</v>
      </c>
      <c r="D19" s="502"/>
      <c r="E19" s="502"/>
      <c r="F19" s="502"/>
      <c r="G19" s="502"/>
      <c r="H19" s="502"/>
      <c r="I19" s="502"/>
      <c r="J19" s="1004"/>
      <c r="K19" s="124"/>
      <c r="L19" s="124"/>
    </row>
    <row r="20" spans="2:12" ht="12.75">
      <c r="B20" s="125" t="s">
        <v>306</v>
      </c>
      <c r="C20" s="494" t="s">
        <v>307</v>
      </c>
      <c r="D20" s="502">
        <f>D18*26.6%</f>
        <v>73.00953072</v>
      </c>
      <c r="E20" s="502">
        <f>D20</f>
        <v>73.00953072</v>
      </c>
      <c r="F20" s="502">
        <v>121.987</v>
      </c>
      <c r="G20" s="502">
        <v>292.82</v>
      </c>
      <c r="H20" s="502">
        <f>34.6%*H18</f>
        <v>172.478872792</v>
      </c>
      <c r="I20" s="1015" t="e">
        <f>I18*30.6%</f>
        <v>#REF!</v>
      </c>
      <c r="J20" s="1004"/>
      <c r="K20" s="124"/>
      <c r="L20" s="124"/>
    </row>
    <row r="21" spans="2:12" ht="12.75">
      <c r="B21" s="125"/>
      <c r="C21" s="494" t="s">
        <v>297</v>
      </c>
      <c r="D21" s="502"/>
      <c r="E21" s="502"/>
      <c r="F21" s="502"/>
      <c r="G21" s="502"/>
      <c r="H21" s="502"/>
      <c r="I21" s="502"/>
      <c r="J21" s="1004"/>
      <c r="K21" s="124"/>
      <c r="L21" s="124"/>
    </row>
    <row r="22" spans="2:12" ht="12.75">
      <c r="B22" s="125" t="s">
        <v>308</v>
      </c>
      <c r="C22" s="494" t="s">
        <v>309</v>
      </c>
      <c r="D22" s="864">
        <f>'П1.17Ам'!D10</f>
        <v>6.26</v>
      </c>
      <c r="E22" s="864">
        <f>D22</f>
        <v>6.26</v>
      </c>
      <c r="F22" s="864">
        <v>6.264</v>
      </c>
      <c r="G22" s="864">
        <v>43.24</v>
      </c>
      <c r="H22" s="864">
        <f>E22</f>
        <v>6.26</v>
      </c>
      <c r="I22" s="864">
        <v>13.935</v>
      </c>
      <c r="J22" s="1004"/>
      <c r="K22" s="124"/>
      <c r="L22" s="124"/>
    </row>
    <row r="23" spans="2:12" ht="15">
      <c r="B23" s="125" t="s">
        <v>310</v>
      </c>
      <c r="C23" s="494" t="s">
        <v>311</v>
      </c>
      <c r="D23" s="836">
        <f>D24+D25+D26+D27+D28+D29+D30+D33</f>
        <v>117.06357413516015</v>
      </c>
      <c r="E23" s="836">
        <f>D23</f>
        <v>117.06357413516015</v>
      </c>
      <c r="F23" s="1037">
        <f>F24+F25+F26+F27+F28+F29+F30+F33</f>
        <v>117.06400000000001</v>
      </c>
      <c r="G23" s="1037">
        <v>278.7</v>
      </c>
      <c r="H23" s="836">
        <f>F23*107.9%</f>
        <v>126.312056</v>
      </c>
      <c r="I23" s="1037">
        <f>I24+I25+I26+I27+I28+I29+I30+I33</f>
        <v>34.76088671186441</v>
      </c>
      <c r="J23" s="1004"/>
      <c r="K23" s="124"/>
      <c r="L23" s="124"/>
    </row>
    <row r="24" spans="2:12" ht="12.75">
      <c r="B24" s="125" t="s">
        <v>312</v>
      </c>
      <c r="C24" s="494" t="s">
        <v>2484</v>
      </c>
      <c r="D24" s="835"/>
      <c r="E24" s="835"/>
      <c r="F24" s="835"/>
      <c r="G24" s="835"/>
      <c r="H24" s="835"/>
      <c r="I24" s="835"/>
      <c r="J24" s="1006"/>
      <c r="K24" s="831"/>
      <c r="L24" s="124"/>
    </row>
    <row r="25" spans="2:11" ht="12.75">
      <c r="B25" s="125" t="s">
        <v>313</v>
      </c>
      <c r="C25" s="494" t="s">
        <v>2569</v>
      </c>
      <c r="D25" s="502">
        <v>5.1</v>
      </c>
      <c r="E25" s="502"/>
      <c r="F25" s="502">
        <v>5.1</v>
      </c>
      <c r="G25" s="502">
        <v>5.7</v>
      </c>
      <c r="H25" s="502"/>
      <c r="I25" s="502">
        <v>5.1</v>
      </c>
      <c r="J25" s="1004"/>
      <c r="K25" s="124"/>
    </row>
    <row r="26" spans="2:11" ht="12.75" customHeight="1">
      <c r="B26" s="125" t="s">
        <v>314</v>
      </c>
      <c r="C26" s="494" t="s">
        <v>553</v>
      </c>
      <c r="D26" s="502"/>
      <c r="E26" s="502"/>
      <c r="F26" s="502"/>
      <c r="G26" s="502"/>
      <c r="H26" s="502"/>
      <c r="I26" s="502"/>
      <c r="J26" s="1004"/>
      <c r="K26" s="124"/>
    </row>
    <row r="27" spans="2:11" ht="76.5">
      <c r="B27" s="125" t="s">
        <v>315</v>
      </c>
      <c r="C27" s="854" t="s">
        <v>2296</v>
      </c>
      <c r="D27" s="502"/>
      <c r="E27" s="502"/>
      <c r="F27" s="502"/>
      <c r="G27" s="502"/>
      <c r="H27" s="502"/>
      <c r="I27" s="502"/>
      <c r="J27" s="1004"/>
      <c r="K27" s="124"/>
    </row>
    <row r="28" spans="2:11" ht="12.75">
      <c r="B28" s="125" t="s">
        <v>316</v>
      </c>
      <c r="C28" s="494" t="s">
        <v>554</v>
      </c>
      <c r="D28" s="502">
        <f>5%*'П1.17Ам'!D8</f>
        <v>21.965500000000002</v>
      </c>
      <c r="E28" s="502"/>
      <c r="F28" s="502">
        <v>21.966</v>
      </c>
      <c r="G28" s="502">
        <v>102</v>
      </c>
      <c r="H28" s="502"/>
      <c r="I28" s="1015">
        <v>0</v>
      </c>
      <c r="J28" s="1004"/>
      <c r="K28" s="124"/>
    </row>
    <row r="29" spans="2:11" ht="12.75">
      <c r="B29" s="125" t="s">
        <v>317</v>
      </c>
      <c r="C29" s="494" t="s">
        <v>318</v>
      </c>
      <c r="D29" s="502"/>
      <c r="E29" s="502"/>
      <c r="F29" s="502"/>
      <c r="G29" s="502"/>
      <c r="H29" s="502"/>
      <c r="I29" s="502"/>
      <c r="J29" s="1004"/>
      <c r="K29" s="124"/>
    </row>
    <row r="30" spans="2:11" ht="25.5">
      <c r="B30" s="125" t="s">
        <v>319</v>
      </c>
      <c r="C30" s="494" t="s">
        <v>2297</v>
      </c>
      <c r="D30" s="835"/>
      <c r="E30" s="835"/>
      <c r="F30" s="835"/>
      <c r="G30" s="835">
        <f>G31+G32</f>
        <v>7.66</v>
      </c>
      <c r="H30" s="835"/>
      <c r="I30" s="835"/>
      <c r="J30" s="1006"/>
      <c r="K30" s="124"/>
    </row>
    <row r="31" spans="2:11" ht="12.75">
      <c r="B31" s="125" t="s">
        <v>320</v>
      </c>
      <c r="C31" s="494" t="s">
        <v>1390</v>
      </c>
      <c r="D31" s="502"/>
      <c r="E31" s="502"/>
      <c r="F31" s="502"/>
      <c r="G31" s="502">
        <f>7.66</f>
        <v>7.66</v>
      </c>
      <c r="H31" s="502"/>
      <c r="I31" s="502">
        <f>G31</f>
        <v>7.66</v>
      </c>
      <c r="J31" s="1004"/>
      <c r="K31" s="124"/>
    </row>
    <row r="32" spans="2:11" ht="12.75">
      <c r="B32" s="125" t="s">
        <v>321</v>
      </c>
      <c r="C32" s="494" t="s">
        <v>322</v>
      </c>
      <c r="D32" s="502"/>
      <c r="E32" s="502"/>
      <c r="F32" s="502"/>
      <c r="G32" s="502"/>
      <c r="H32" s="502"/>
      <c r="I32" s="502"/>
      <c r="J32" s="1004"/>
      <c r="K32" s="124"/>
    </row>
    <row r="33" spans="2:11" ht="25.5">
      <c r="B33" s="125" t="s">
        <v>323</v>
      </c>
      <c r="C33" s="494" t="s">
        <v>2436</v>
      </c>
      <c r="D33" s="865">
        <f>D34+D35+D36+D37+D38</f>
        <v>89.99807413516015</v>
      </c>
      <c r="E33" s="865"/>
      <c r="F33" s="865">
        <v>89.998</v>
      </c>
      <c r="G33" s="865">
        <f>SUM(G34:G38)</f>
        <v>163.34</v>
      </c>
      <c r="H33" s="865">
        <f>SUM(H34:H38)</f>
        <v>0</v>
      </c>
      <c r="I33" s="865">
        <f>SUM(I34:I38)</f>
        <v>29.66088671186441</v>
      </c>
      <c r="J33" s="1007"/>
      <c r="K33" s="124"/>
    </row>
    <row r="34" spans="2:11" ht="12.75">
      <c r="B34" s="125" t="s">
        <v>324</v>
      </c>
      <c r="C34" s="494" t="s">
        <v>1391</v>
      </c>
      <c r="D34" s="502">
        <f>1.06%*1827.063/331*365</f>
        <v>21.35621373716012</v>
      </c>
      <c r="E34" s="502"/>
      <c r="F34" s="502">
        <v>21.356</v>
      </c>
      <c r="G34" s="502">
        <v>36.85</v>
      </c>
      <c r="H34" s="502"/>
      <c r="I34" s="502">
        <f>F34*1.079</f>
        <v>23.043124000000002</v>
      </c>
      <c r="J34" s="1004"/>
      <c r="K34" s="124"/>
    </row>
    <row r="35" spans="2:11" ht="12.75">
      <c r="B35" s="125" t="s">
        <v>1465</v>
      </c>
      <c r="C35" s="494" t="s">
        <v>1535</v>
      </c>
      <c r="D35" s="835">
        <f>0.56042*17%*1.07</f>
        <v>0.10194039800000002</v>
      </c>
      <c r="E35" s="835"/>
      <c r="F35" s="835">
        <v>0.102</v>
      </c>
      <c r="G35" s="835"/>
      <c r="H35" s="835"/>
      <c r="I35" s="835">
        <f>6*1.062</f>
        <v>6.372</v>
      </c>
      <c r="J35" s="1006"/>
      <c r="K35" s="124"/>
    </row>
    <row r="36" spans="2:11" ht="12.75">
      <c r="B36" s="125" t="s">
        <v>1466</v>
      </c>
      <c r="C36" s="494" t="s">
        <v>426</v>
      </c>
      <c r="D36" s="860">
        <f>376.8*17%*1.07</f>
        <v>68.53992000000002</v>
      </c>
      <c r="E36" s="860"/>
      <c r="F36" s="860">
        <v>68.54</v>
      </c>
      <c r="G36" s="860"/>
      <c r="H36" s="860"/>
      <c r="I36" s="860"/>
      <c r="J36" s="1004"/>
      <c r="K36" s="124"/>
    </row>
    <row r="37" spans="2:11" ht="12.75">
      <c r="B37" s="125" t="s">
        <v>1467</v>
      </c>
      <c r="C37" s="1222" t="s">
        <v>1392</v>
      </c>
      <c r="D37" s="502"/>
      <c r="E37" s="502"/>
      <c r="F37" s="502"/>
      <c r="G37" s="502">
        <v>126.49</v>
      </c>
      <c r="H37" s="502"/>
      <c r="I37" s="502">
        <f>1.45/1.18/5</f>
        <v>0.2457627118644068</v>
      </c>
      <c r="J37" s="1004"/>
      <c r="K37" s="124"/>
    </row>
    <row r="38" spans="2:11" ht="12.75">
      <c r="B38" s="125" t="s">
        <v>1468</v>
      </c>
      <c r="C38" s="494"/>
      <c r="D38" s="502"/>
      <c r="E38" s="502"/>
      <c r="F38" s="502"/>
      <c r="G38" s="502"/>
      <c r="H38" s="502"/>
      <c r="I38" s="502"/>
      <c r="J38" s="1004"/>
      <c r="K38" s="124"/>
    </row>
    <row r="39" spans="2:11" ht="15.75">
      <c r="B39" s="188" t="s">
        <v>325</v>
      </c>
      <c r="C39" s="495" t="s">
        <v>326</v>
      </c>
      <c r="D39" s="836">
        <f>D9+D10+D12+D14+D15+D18+D20+D22+D23</f>
        <v>723.2193448551602</v>
      </c>
      <c r="E39" s="836">
        <v>723.22</v>
      </c>
      <c r="F39" s="1037">
        <f>F9+F10+F12+F14+F15+F18+F20+F22+F23</f>
        <v>963.4229999999999</v>
      </c>
      <c r="G39" s="836">
        <f>G9+G10+G12+G14+G15+G18+G20+G22+G23</f>
        <v>2245.58</v>
      </c>
      <c r="H39" s="836">
        <f>H9+H10+H12+H14+H15+H18+H20+H22+H23</f>
        <v>1085.4845167919998</v>
      </c>
      <c r="I39" s="1090" t="e">
        <f>I9+I10+I12+I14+I15+I18+I20+I22+I23</f>
        <v>#REF!</v>
      </c>
      <c r="J39" s="1005"/>
      <c r="K39" s="833"/>
    </row>
    <row r="40" spans="2:11" ht="12.75">
      <c r="B40" s="125"/>
      <c r="C40" s="494" t="s">
        <v>297</v>
      </c>
      <c r="D40" s="502"/>
      <c r="E40" s="502"/>
      <c r="F40" s="502"/>
      <c r="G40" s="502"/>
      <c r="H40" s="502"/>
      <c r="I40" s="502"/>
      <c r="J40" s="834"/>
      <c r="K40" s="237"/>
    </row>
    <row r="41" spans="2:11" ht="12.75">
      <c r="B41" s="125"/>
      <c r="C41" s="496" t="s">
        <v>549</v>
      </c>
      <c r="D41" s="503"/>
      <c r="E41" s="503"/>
      <c r="F41" s="503"/>
      <c r="G41" s="503"/>
      <c r="H41" s="503"/>
      <c r="I41" s="503"/>
      <c r="J41" s="1000"/>
      <c r="K41" s="124"/>
    </row>
    <row r="42" spans="2:11" ht="12.75">
      <c r="B42" s="125" t="s">
        <v>327</v>
      </c>
      <c r="C42" s="494" t="s">
        <v>2298</v>
      </c>
      <c r="D42" s="502"/>
      <c r="E42" s="502"/>
      <c r="F42" s="502"/>
      <c r="G42" s="502"/>
      <c r="H42" s="502"/>
      <c r="I42" s="502"/>
      <c r="J42" s="834"/>
      <c r="K42" s="124"/>
    </row>
    <row r="43" spans="2:11" ht="25.5">
      <c r="B43" s="125" t="s">
        <v>328</v>
      </c>
      <c r="C43" s="494" t="s">
        <v>2299</v>
      </c>
      <c r="D43" s="502"/>
      <c r="E43" s="502"/>
      <c r="F43" s="502"/>
      <c r="G43" s="502"/>
      <c r="H43" s="502"/>
      <c r="I43" s="502"/>
      <c r="J43" s="834"/>
      <c r="K43" s="124"/>
    </row>
    <row r="44" spans="2:11" ht="30">
      <c r="B44" s="425" t="s">
        <v>329</v>
      </c>
      <c r="C44" s="497" t="s">
        <v>2300</v>
      </c>
      <c r="D44" s="836">
        <f>D39+D42-D43</f>
        <v>723.2193448551602</v>
      </c>
      <c r="E44" s="836">
        <f>E39+E42-E43</f>
        <v>723.22</v>
      </c>
      <c r="F44" s="836"/>
      <c r="G44" s="836">
        <f>G39+G42-G43</f>
        <v>2245.58</v>
      </c>
      <c r="H44" s="836"/>
      <c r="I44" s="836" t="e">
        <f>I39+I42-I43</f>
        <v>#REF!</v>
      </c>
      <c r="J44" s="999"/>
      <c r="K44" s="832"/>
    </row>
    <row r="45" spans="2:10" ht="12.75">
      <c r="B45" s="125"/>
      <c r="C45" s="494" t="s">
        <v>330</v>
      </c>
      <c r="D45" s="155"/>
      <c r="E45" s="155"/>
      <c r="F45" s="155"/>
      <c r="G45" s="155"/>
      <c r="H45" s="155"/>
      <c r="I45" s="155"/>
      <c r="J45" s="146"/>
    </row>
    <row r="46" spans="2:10" ht="12.75">
      <c r="B46" s="125" t="s">
        <v>331</v>
      </c>
      <c r="C46" s="494" t="s">
        <v>332</v>
      </c>
      <c r="D46" s="155"/>
      <c r="E46" s="155"/>
      <c r="F46" s="155"/>
      <c r="G46" s="155"/>
      <c r="H46" s="155"/>
      <c r="I46" s="155"/>
      <c r="J46" s="146"/>
    </row>
    <row r="47" spans="2:10" ht="12.75">
      <c r="B47" s="125" t="s">
        <v>333</v>
      </c>
      <c r="C47" s="494" t="s">
        <v>334</v>
      </c>
      <c r="D47" s="155"/>
      <c r="E47" s="155"/>
      <c r="F47" s="155"/>
      <c r="G47" s="155"/>
      <c r="H47" s="155"/>
      <c r="I47" s="155"/>
      <c r="J47" s="146"/>
    </row>
    <row r="48" spans="2:10" ht="12.75">
      <c r="B48" s="125" t="s">
        <v>335</v>
      </c>
      <c r="C48" s="494" t="s">
        <v>336</v>
      </c>
      <c r="D48" s="155"/>
      <c r="E48" s="155"/>
      <c r="F48" s="155"/>
      <c r="G48" s="155"/>
      <c r="H48" s="155"/>
      <c r="I48" s="155"/>
      <c r="J48" s="146"/>
    </row>
    <row r="49" spans="2:11" ht="15">
      <c r="B49" s="125" t="s">
        <v>337</v>
      </c>
      <c r="C49" s="498" t="s">
        <v>1469</v>
      </c>
      <c r="D49" s="501">
        <f>D39-D27</f>
        <v>723.2193448551602</v>
      </c>
      <c r="E49" s="501"/>
      <c r="F49" s="501"/>
      <c r="G49" s="501"/>
      <c r="H49" s="501"/>
      <c r="I49" s="501"/>
      <c r="J49" s="833"/>
      <c r="K49" s="134"/>
    </row>
    <row r="50" spans="2:10" ht="12.75">
      <c r="B50" s="125" t="s">
        <v>338</v>
      </c>
      <c r="C50" s="494" t="s">
        <v>339</v>
      </c>
      <c r="D50" s="155"/>
      <c r="E50" s="155"/>
      <c r="F50" s="155"/>
      <c r="G50" s="155"/>
      <c r="H50" s="155"/>
      <c r="I50" s="155"/>
      <c r="J50" s="146"/>
    </row>
    <row r="51" spans="2:10" ht="12.75">
      <c r="B51" s="125" t="s">
        <v>340</v>
      </c>
      <c r="C51" s="494" t="s">
        <v>341</v>
      </c>
      <c r="D51" s="155"/>
      <c r="E51" s="155"/>
      <c r="F51" s="155"/>
      <c r="G51" s="155"/>
      <c r="H51" s="155"/>
      <c r="I51" s="155"/>
      <c r="J51" s="146"/>
    </row>
    <row r="52" spans="2:10" ht="12.75">
      <c r="B52" s="125" t="s">
        <v>342</v>
      </c>
      <c r="C52" s="494" t="s">
        <v>343</v>
      </c>
      <c r="D52" s="500"/>
      <c r="E52" s="500"/>
      <c r="F52" s="500"/>
      <c r="G52" s="155"/>
      <c r="H52" s="155"/>
      <c r="I52" s="155"/>
      <c r="J52" s="146"/>
    </row>
    <row r="53" spans="2:10" ht="12.75">
      <c r="B53" s="125" t="s">
        <v>344</v>
      </c>
      <c r="C53" s="494" t="s">
        <v>345</v>
      </c>
      <c r="D53" s="500"/>
      <c r="E53" s="500"/>
      <c r="F53" s="500"/>
      <c r="G53" s="155"/>
      <c r="H53" s="155"/>
      <c r="I53" s="155"/>
      <c r="J53" s="146"/>
    </row>
    <row r="54" spans="2:10" ht="13.5" thickBot="1">
      <c r="B54" s="151" t="s">
        <v>346</v>
      </c>
      <c r="C54" s="499" t="s">
        <v>347</v>
      </c>
      <c r="D54" s="172"/>
      <c r="E54" s="172"/>
      <c r="F54" s="172"/>
      <c r="G54" s="504"/>
      <c r="H54" s="504"/>
      <c r="I54" s="504"/>
      <c r="J54" s="146"/>
    </row>
    <row r="55" spans="2:10" ht="12.75">
      <c r="B55" s="124"/>
      <c r="C55" s="124"/>
      <c r="D55" s="124"/>
      <c r="E55" s="124"/>
      <c r="F55" s="124"/>
      <c r="G55" s="124"/>
      <c r="H55" s="124"/>
      <c r="I55" s="124"/>
      <c r="J55" s="1002"/>
    </row>
    <row r="56" spans="2:10" ht="12.75">
      <c r="B56" s="1892" t="s">
        <v>348</v>
      </c>
      <c r="C56" s="1892"/>
      <c r="D56" s="1892"/>
      <c r="E56" s="1892"/>
      <c r="F56" s="1892"/>
      <c r="G56" s="1892"/>
      <c r="H56" s="997"/>
      <c r="I56" s="997"/>
      <c r="J56" s="1002"/>
    </row>
    <row r="57" spans="2:11" ht="12.75">
      <c r="B57" s="124"/>
      <c r="C57" s="124"/>
      <c r="D57" s="124"/>
      <c r="E57" s="124"/>
      <c r="F57" s="124"/>
      <c r="G57" s="124"/>
      <c r="H57" s="124"/>
      <c r="I57" s="124"/>
      <c r="J57" s="1002"/>
      <c r="K57" s="135"/>
    </row>
    <row r="58" ht="12.75">
      <c r="J58" s="120"/>
    </row>
    <row r="59" ht="12.75">
      <c r="J59" s="1003"/>
    </row>
    <row r="60" ht="12.75">
      <c r="J60" s="120"/>
    </row>
    <row r="61" ht="12.75">
      <c r="J61" s="120"/>
    </row>
    <row r="62" ht="12.75">
      <c r="J62" s="120"/>
    </row>
    <row r="63" ht="12.75">
      <c r="J63" s="120"/>
    </row>
    <row r="64" ht="12.75">
      <c r="J64" s="120"/>
    </row>
    <row r="65" ht="12.75">
      <c r="J65" s="120"/>
    </row>
    <row r="66" ht="12.75">
      <c r="J66" s="120"/>
    </row>
    <row r="67" ht="12.75">
      <c r="J67" s="120"/>
    </row>
    <row r="68" ht="12.75">
      <c r="J68" s="120"/>
    </row>
    <row r="69" ht="12.75">
      <c r="J69" s="120"/>
    </row>
    <row r="70" ht="12.75">
      <c r="J70" s="120"/>
    </row>
    <row r="71" ht="12.75">
      <c r="J71" s="120"/>
    </row>
    <row r="72" ht="12.75">
      <c r="J72" s="120"/>
    </row>
    <row r="73" ht="12.75">
      <c r="J73" s="120"/>
    </row>
    <row r="74" ht="12.75">
      <c r="J74" s="120"/>
    </row>
    <row r="75" ht="12.75">
      <c r="J75" s="120"/>
    </row>
    <row r="76" ht="12.75">
      <c r="J76" s="120"/>
    </row>
    <row r="77" ht="12.75">
      <c r="J77" s="120"/>
    </row>
    <row r="78" ht="12.75">
      <c r="J78" s="120"/>
    </row>
    <row r="79" ht="12.75">
      <c r="J79" s="120"/>
    </row>
    <row r="80" ht="12.75">
      <c r="J80" s="120"/>
    </row>
    <row r="81" ht="12.75">
      <c r="J81" s="120"/>
    </row>
    <row r="82" ht="12.75">
      <c r="J82" s="120"/>
    </row>
  </sheetData>
  <sheetProtection/>
  <mergeCells count="3">
    <mergeCell ref="B5:C6"/>
    <mergeCell ref="G5:I6"/>
    <mergeCell ref="B56:G56"/>
  </mergeCells>
  <printOptions/>
  <pageMargins left="0.75" right="0.17" top="1" bottom="1" header="0.5" footer="0.5"/>
  <pageSetup fitToHeight="1" fitToWidth="1" horizontalDpi="600" verticalDpi="600" orientation="portrait" paperSize="9" scale="5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Y114"/>
  <sheetViews>
    <sheetView zoomScale="80" zoomScaleNormal="80" zoomScalePageLayoutView="0" workbookViewId="0" topLeftCell="A54">
      <selection activeCell="I67" sqref="I6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0.12890625" style="0" customWidth="1"/>
    <col min="5" max="5" width="55.75390625" style="0" customWidth="1"/>
    <col min="6" max="6" width="12.25390625" style="0" customWidth="1"/>
    <col min="7" max="7" width="13.875" style="0" customWidth="1"/>
    <col min="8" max="9" width="14.875" style="0" customWidth="1"/>
    <col min="10" max="11" width="14.75390625" style="0" customWidth="1"/>
    <col min="12" max="12" width="12.125" style="0" customWidth="1"/>
    <col min="13" max="13" width="12.625" style="0" bestFit="1" customWidth="1"/>
    <col min="14" max="14" width="10.875" style="0" bestFit="1" customWidth="1"/>
  </cols>
  <sheetData>
    <row r="2" spans="3:25" ht="15">
      <c r="C2" s="1111"/>
      <c r="D2" s="1112"/>
      <c r="E2" s="1113" t="s">
        <v>2477</v>
      </c>
      <c r="F2" s="1113"/>
      <c r="G2" s="1113"/>
      <c r="H2" s="1113"/>
      <c r="I2" s="1113"/>
      <c r="J2" s="1113"/>
      <c r="K2" s="1113"/>
      <c r="L2" s="1114"/>
      <c r="M2" s="1115"/>
      <c r="N2" s="1116"/>
      <c r="O2" s="1111"/>
      <c r="P2" s="1111"/>
      <c r="Q2" s="1111"/>
      <c r="R2" s="1111"/>
      <c r="S2" s="1111"/>
      <c r="T2" s="1111"/>
      <c r="U2" s="1111"/>
      <c r="V2" s="1111"/>
      <c r="W2" s="1111"/>
      <c r="X2" s="1111"/>
      <c r="Y2" s="1111"/>
    </row>
    <row r="3" spans="3:25" ht="15">
      <c r="C3" s="1111"/>
      <c r="D3" s="1117"/>
      <c r="E3" s="1117"/>
      <c r="F3" s="1117"/>
      <c r="G3" s="1117"/>
      <c r="H3" s="1118"/>
      <c r="I3" s="1118"/>
      <c r="J3" s="1118"/>
      <c r="K3" s="1118"/>
      <c r="L3" s="1114"/>
      <c r="M3" s="1115"/>
      <c r="N3" s="1111"/>
      <c r="O3" s="1111"/>
      <c r="P3" s="1111"/>
      <c r="Q3" s="1111"/>
      <c r="R3" s="1111"/>
      <c r="S3" s="1111"/>
      <c r="T3" s="1111"/>
      <c r="U3" s="1111"/>
      <c r="V3" s="1111"/>
      <c r="W3" s="1111"/>
      <c r="X3" s="1111"/>
      <c r="Y3" s="1111"/>
    </row>
    <row r="4" spans="3:25" ht="15">
      <c r="C4" s="1111"/>
      <c r="D4" s="1113"/>
      <c r="E4" s="1896" t="s">
        <v>1615</v>
      </c>
      <c r="F4" s="1897"/>
      <c r="G4" s="1897"/>
      <c r="H4" s="1897"/>
      <c r="I4" s="1119"/>
      <c r="J4" s="1119"/>
      <c r="K4" s="1119"/>
      <c r="L4" s="1114"/>
      <c r="M4" s="1115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</row>
    <row r="5" spans="3:25" ht="15">
      <c r="C5" s="1111"/>
      <c r="D5" s="1898" t="s">
        <v>0</v>
      </c>
      <c r="E5" s="1898"/>
      <c r="F5" s="1898"/>
      <c r="G5" s="1898"/>
      <c r="H5" s="1898"/>
      <c r="I5" s="1478"/>
      <c r="J5" s="1478"/>
      <c r="K5" s="1478"/>
      <c r="L5" s="1114"/>
      <c r="M5" s="1115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</row>
    <row r="6" spans="3:25" ht="15">
      <c r="C6" s="1111"/>
      <c r="D6" s="1119"/>
      <c r="E6" s="1119"/>
      <c r="F6" s="1119"/>
      <c r="G6" s="1119"/>
      <c r="H6" s="1119"/>
      <c r="I6" s="1119"/>
      <c r="J6" s="1119"/>
      <c r="K6" s="1119"/>
      <c r="L6" s="1114"/>
      <c r="M6" s="1115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1"/>
      <c r="Y6" s="1111"/>
    </row>
    <row r="7" spans="3:25" ht="15">
      <c r="C7" s="1111"/>
      <c r="D7" s="1536" t="s">
        <v>1</v>
      </c>
      <c r="E7" s="1206" t="s">
        <v>2</v>
      </c>
      <c r="F7" s="1502" t="s">
        <v>3</v>
      </c>
      <c r="G7" s="1502">
        <v>2012</v>
      </c>
      <c r="H7" s="1494">
        <v>2013</v>
      </c>
      <c r="I7" s="1494"/>
      <c r="J7" s="1494">
        <v>2014</v>
      </c>
      <c r="K7" s="1482"/>
      <c r="L7" s="1114"/>
      <c r="M7" s="1115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</row>
    <row r="8" spans="3:25" ht="26.25" customHeight="1">
      <c r="C8" s="1111"/>
      <c r="D8" s="1502" t="s">
        <v>292</v>
      </c>
      <c r="E8" s="1201" t="s">
        <v>4</v>
      </c>
      <c r="F8" s="1204" t="s">
        <v>237</v>
      </c>
      <c r="G8" s="1204">
        <v>988.4742539259616</v>
      </c>
      <c r="H8" s="1495" t="s">
        <v>5</v>
      </c>
      <c r="I8" s="1495"/>
      <c r="J8" s="1495"/>
      <c r="K8" s="1483"/>
      <c r="L8" s="1114"/>
      <c r="M8" s="1115"/>
      <c r="N8" s="1111"/>
      <c r="O8" s="1111"/>
      <c r="P8" s="1111"/>
      <c r="Q8" s="1111"/>
      <c r="R8" s="1111"/>
      <c r="S8" s="1111"/>
      <c r="T8" s="1111"/>
      <c r="U8" s="1111"/>
      <c r="V8" s="1111"/>
      <c r="W8" s="1111"/>
      <c r="X8" s="1111"/>
      <c r="Y8" s="1111"/>
    </row>
    <row r="9" spans="3:25" ht="31.5" customHeight="1">
      <c r="C9" s="1111"/>
      <c r="D9" s="1502" t="s">
        <v>293</v>
      </c>
      <c r="E9" s="1201" t="s">
        <v>6</v>
      </c>
      <c r="F9" s="1204" t="s">
        <v>1521</v>
      </c>
      <c r="G9" s="1204" t="s">
        <v>5</v>
      </c>
      <c r="H9" s="1202">
        <v>0.01</v>
      </c>
      <c r="I9" s="1202">
        <v>0.01</v>
      </c>
      <c r="J9" s="1202">
        <v>0.01</v>
      </c>
      <c r="K9" s="1484"/>
      <c r="L9" s="1114"/>
      <c r="M9" s="1115"/>
      <c r="N9" s="1111"/>
      <c r="O9" s="1111"/>
      <c r="P9" s="1111"/>
      <c r="Q9" s="1111"/>
      <c r="R9" s="1111"/>
      <c r="S9" s="1111"/>
      <c r="T9" s="1111"/>
      <c r="U9" s="1111"/>
      <c r="V9" s="1111"/>
      <c r="W9" s="1111"/>
      <c r="X9" s="1111"/>
      <c r="Y9" s="1111"/>
    </row>
    <row r="10" spans="3:25" ht="30" customHeight="1">
      <c r="C10" s="1111"/>
      <c r="D10" s="1502" t="s">
        <v>1354</v>
      </c>
      <c r="E10" s="1503" t="s">
        <v>7</v>
      </c>
      <c r="F10" s="1204"/>
      <c r="G10" s="1204" t="s">
        <v>5</v>
      </c>
      <c r="H10" s="1205">
        <v>0.75</v>
      </c>
      <c r="I10" s="1205">
        <v>0.75</v>
      </c>
      <c r="J10" s="1205">
        <v>0.75</v>
      </c>
      <c r="K10" s="1485"/>
      <c r="L10" s="1114"/>
      <c r="M10" s="1115"/>
      <c r="N10" s="1111"/>
      <c r="O10" s="1111"/>
      <c r="P10" s="1111"/>
      <c r="Q10" s="1111"/>
      <c r="R10" s="1111"/>
      <c r="S10" s="1111"/>
      <c r="T10" s="1111"/>
      <c r="U10" s="1111"/>
      <c r="V10" s="1111"/>
      <c r="W10" s="1111"/>
      <c r="X10" s="1111"/>
      <c r="Y10" s="1111"/>
    </row>
    <row r="11" spans="3:25" ht="54.75" customHeight="1">
      <c r="C11" s="1111"/>
      <c r="D11" s="1502" t="s">
        <v>1355</v>
      </c>
      <c r="E11" s="1201" t="s">
        <v>8</v>
      </c>
      <c r="F11" s="1204"/>
      <c r="G11" s="1204" t="s">
        <v>5</v>
      </c>
      <c r="H11" s="1121"/>
      <c r="I11" s="1121"/>
      <c r="J11" s="1121"/>
      <c r="K11" s="1557"/>
      <c r="L11" s="1114"/>
      <c r="M11" s="1115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</row>
    <row r="12" spans="3:25" ht="15">
      <c r="C12" s="1111"/>
      <c r="D12" s="1502"/>
      <c r="E12" s="1206" t="s">
        <v>9</v>
      </c>
      <c r="F12" s="1504" t="s">
        <v>1521</v>
      </c>
      <c r="G12" s="1504" t="s">
        <v>5</v>
      </c>
      <c r="H12" s="1207">
        <v>0.02</v>
      </c>
      <c r="I12" s="1207"/>
      <c r="J12" s="1207">
        <v>0.02</v>
      </c>
      <c r="K12" s="1486"/>
      <c r="L12" s="1114"/>
      <c r="M12" s="1115"/>
      <c r="N12" s="1111"/>
      <c r="O12" s="1111"/>
      <c r="P12" s="1111"/>
      <c r="Q12" s="1111"/>
      <c r="R12" s="1111"/>
      <c r="S12" s="1111"/>
      <c r="T12" s="1111"/>
      <c r="U12" s="1111"/>
      <c r="V12" s="1111"/>
      <c r="W12" s="1111"/>
      <c r="X12" s="1111"/>
      <c r="Y12" s="1111"/>
    </row>
    <row r="13" spans="3:25" ht="15">
      <c r="C13" s="1111"/>
      <c r="D13" s="1502"/>
      <c r="E13" s="1206" t="s">
        <v>11</v>
      </c>
      <c r="F13" s="1504" t="s">
        <v>1521</v>
      </c>
      <c r="G13" s="1504" t="s">
        <v>5</v>
      </c>
      <c r="H13" s="1207">
        <v>-0.03</v>
      </c>
      <c r="I13" s="1207"/>
      <c r="J13" s="1207">
        <v>-0.03</v>
      </c>
      <c r="K13" s="1486"/>
      <c r="L13" s="1114"/>
      <c r="M13" s="1115"/>
      <c r="N13" s="1111"/>
      <c r="O13" s="1111"/>
      <c r="P13" s="1111"/>
      <c r="Q13" s="1111"/>
      <c r="R13" s="1111"/>
      <c r="S13" s="1111"/>
      <c r="T13" s="1111"/>
      <c r="U13" s="1111"/>
      <c r="V13" s="1111"/>
      <c r="W13" s="1111"/>
      <c r="X13" s="1111"/>
      <c r="Y13" s="1111"/>
    </row>
    <row r="14" spans="3:25" ht="15">
      <c r="C14" s="1111"/>
      <c r="D14" s="1282"/>
      <c r="E14" s="1282"/>
      <c r="F14" s="1282"/>
      <c r="G14" s="1282"/>
      <c r="H14" s="1282"/>
      <c r="I14" s="1282"/>
      <c r="J14" s="1282"/>
      <c r="K14" s="1282"/>
      <c r="L14" s="1114"/>
      <c r="M14" s="1115"/>
      <c r="N14" s="1111"/>
      <c r="O14" s="1111"/>
      <c r="P14" s="1111"/>
      <c r="Q14" s="1111"/>
      <c r="R14" s="1111"/>
      <c r="S14" s="1111"/>
      <c r="T14" s="1111"/>
      <c r="U14" s="1111"/>
      <c r="V14" s="1111"/>
      <c r="W14" s="1111"/>
      <c r="X14" s="1111"/>
      <c r="Y14" s="1111"/>
    </row>
    <row r="15" spans="3:25" ht="15">
      <c r="C15" s="1111"/>
      <c r="D15" s="1481" t="s">
        <v>12</v>
      </c>
      <c r="E15" s="1481"/>
      <c r="F15" s="1481"/>
      <c r="G15" s="1481"/>
      <c r="H15" s="1481"/>
      <c r="I15" s="1481"/>
      <c r="J15" s="1481"/>
      <c r="K15" s="1481"/>
      <c r="L15" s="1114"/>
      <c r="M15" s="1115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</row>
    <row r="16" spans="3:25" ht="15">
      <c r="C16" s="1111"/>
      <c r="D16" s="1282"/>
      <c r="E16" s="1282"/>
      <c r="F16" s="1282"/>
      <c r="G16" s="1282"/>
      <c r="H16" s="1282"/>
      <c r="I16" s="1282"/>
      <c r="J16" s="1282"/>
      <c r="K16" s="1282"/>
      <c r="L16" s="1114"/>
      <c r="M16" s="1115"/>
      <c r="N16" s="1111"/>
      <c r="O16" s="1111"/>
      <c r="P16" s="1111"/>
      <c r="Q16" s="1111"/>
      <c r="R16" s="1111"/>
      <c r="S16" s="1111"/>
      <c r="T16" s="1111"/>
      <c r="U16" s="1111"/>
      <c r="V16" s="1111"/>
      <c r="W16" s="1111"/>
      <c r="X16" s="1111"/>
      <c r="Y16" s="1111"/>
    </row>
    <row r="17" spans="3:25" ht="41.25" customHeight="1">
      <c r="C17" s="1111"/>
      <c r="D17" s="1536" t="s">
        <v>1</v>
      </c>
      <c r="E17" s="1206" t="s">
        <v>2</v>
      </c>
      <c r="F17" s="1206" t="s">
        <v>3</v>
      </c>
      <c r="G17" s="1502">
        <v>2012</v>
      </c>
      <c r="H17" s="1494">
        <v>2013</v>
      </c>
      <c r="I17" s="1494" t="s">
        <v>636</v>
      </c>
      <c r="J17" s="1494">
        <v>2014</v>
      </c>
      <c r="K17" s="1482"/>
      <c r="L17" s="1114"/>
      <c r="M17" s="1115"/>
      <c r="N17" s="1111"/>
      <c r="O17" s="1111"/>
      <c r="P17" s="1111"/>
      <c r="Q17" s="1111"/>
      <c r="R17" s="1111"/>
      <c r="S17" s="1111"/>
      <c r="T17" s="1111"/>
      <c r="U17" s="1111"/>
      <c r="V17" s="1111"/>
      <c r="W17" s="1111"/>
      <c r="X17" s="1111"/>
      <c r="Y17" s="1111"/>
    </row>
    <row r="18" spans="3:25" ht="24" customHeight="1">
      <c r="C18" s="1111"/>
      <c r="D18" s="1502" t="s">
        <v>292</v>
      </c>
      <c r="E18" s="1201" t="s">
        <v>13</v>
      </c>
      <c r="F18" s="1204" t="s">
        <v>1521</v>
      </c>
      <c r="G18" s="1571">
        <v>0.05</v>
      </c>
      <c r="H18" s="1497">
        <v>0.071</v>
      </c>
      <c r="I18" s="1497">
        <v>0.068</v>
      </c>
      <c r="J18" s="1497">
        <v>0.056</v>
      </c>
      <c r="K18" s="1558"/>
      <c r="L18" s="1114"/>
      <c r="M18" s="1115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</row>
    <row r="19" spans="3:25" ht="24.75" customHeight="1">
      <c r="C19" s="1111"/>
      <c r="D19" s="1502" t="s">
        <v>293</v>
      </c>
      <c r="E19" s="1201" t="s">
        <v>14</v>
      </c>
      <c r="F19" s="1204" t="s">
        <v>15</v>
      </c>
      <c r="G19" s="1204">
        <v>271.28</v>
      </c>
      <c r="H19" s="1123">
        <v>271.28</v>
      </c>
      <c r="I19" s="1123"/>
      <c r="J19" s="1123">
        <v>271.28000000000003</v>
      </c>
      <c r="K19" s="1559"/>
      <c r="L19" s="1114"/>
      <c r="M19" s="1115"/>
      <c r="N19" s="1111"/>
      <c r="O19" s="1111"/>
      <c r="P19" s="1111"/>
      <c r="Q19" s="1111"/>
      <c r="R19" s="1111"/>
      <c r="S19" s="1111"/>
      <c r="T19" s="1111"/>
      <c r="U19" s="1111"/>
      <c r="V19" s="1111"/>
      <c r="W19" s="1111"/>
      <c r="X19" s="1111"/>
      <c r="Y19" s="1111"/>
    </row>
    <row r="20" spans="3:25" ht="25.5" customHeight="1">
      <c r="C20" s="1111"/>
      <c r="D20" s="1502" t="s">
        <v>1354</v>
      </c>
      <c r="E20" s="1503" t="s">
        <v>17</v>
      </c>
      <c r="F20" s="1204" t="s">
        <v>237</v>
      </c>
      <c r="G20" s="1204">
        <v>481.31463040430197</v>
      </c>
      <c r="H20" s="1208">
        <v>493.7947525119432</v>
      </c>
      <c r="I20" s="1208"/>
      <c r="J20" s="1208">
        <v>775.9211316194973</v>
      </c>
      <c r="K20" s="1487"/>
      <c r="L20" s="1114"/>
      <c r="M20" s="1115"/>
      <c r="N20" s="1111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</row>
    <row r="21" spans="3:25" ht="23.25" customHeight="1">
      <c r="C21" s="1111"/>
      <c r="D21" s="1502" t="s">
        <v>1355</v>
      </c>
      <c r="E21" s="1503" t="s">
        <v>18</v>
      </c>
      <c r="F21" s="1204" t="s">
        <v>19</v>
      </c>
      <c r="G21" s="1204">
        <v>27.67</v>
      </c>
      <c r="H21" s="1123">
        <v>27.669999999999998</v>
      </c>
      <c r="I21" s="1123"/>
      <c r="J21" s="1123">
        <v>27.65</v>
      </c>
      <c r="K21" s="1559"/>
      <c r="L21" s="1114"/>
      <c r="M21" s="1115"/>
      <c r="N21" s="1111"/>
      <c r="O21" s="1111"/>
      <c r="P21" s="1111"/>
      <c r="Q21" s="1111"/>
      <c r="R21" s="1111"/>
      <c r="S21" s="1111"/>
      <c r="T21" s="1111"/>
      <c r="U21" s="1111"/>
      <c r="V21" s="1111"/>
      <c r="W21" s="1111"/>
      <c r="X21" s="1111"/>
      <c r="Y21" s="1111"/>
    </row>
    <row r="22" spans="3:25" ht="36" customHeight="1">
      <c r="C22" s="1111"/>
      <c r="D22" s="1502" t="s">
        <v>1356</v>
      </c>
      <c r="E22" s="1201" t="s">
        <v>20</v>
      </c>
      <c r="F22" s="1204" t="s">
        <v>19</v>
      </c>
      <c r="G22" s="1204">
        <v>1.54</v>
      </c>
      <c r="H22" s="1125">
        <v>1.54</v>
      </c>
      <c r="I22" s="1125"/>
      <c r="J22" s="1125">
        <v>1.5377948425000003</v>
      </c>
      <c r="K22" s="1488"/>
      <c r="L22" s="1114"/>
      <c r="M22" s="1115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</row>
    <row r="23" spans="3:25" ht="20.25" customHeight="1">
      <c r="C23" s="1111"/>
      <c r="D23" s="1502" t="s">
        <v>1358</v>
      </c>
      <c r="E23" s="1217" t="s">
        <v>21</v>
      </c>
      <c r="F23" s="1504" t="s">
        <v>157</v>
      </c>
      <c r="G23" s="1504">
        <v>7</v>
      </c>
      <c r="H23" s="1125">
        <v>7</v>
      </c>
      <c r="I23" s="1125"/>
      <c r="J23" s="1125">
        <v>7</v>
      </c>
      <c r="K23" s="1488"/>
      <c r="L23" s="1114"/>
      <c r="M23" s="1115"/>
      <c r="N23" s="1111"/>
      <c r="O23" s="1111"/>
      <c r="P23" s="1111"/>
      <c r="Q23" s="1111"/>
      <c r="R23" s="1111"/>
      <c r="S23" s="1111"/>
      <c r="T23" s="1111"/>
      <c r="U23" s="1111"/>
      <c r="V23" s="1111"/>
      <c r="W23" s="1111"/>
      <c r="X23" s="1111"/>
      <c r="Y23" s="1111"/>
    </row>
    <row r="24" spans="3:25" ht="33.75" customHeight="1">
      <c r="C24" s="1111"/>
      <c r="D24" s="1502" t="s">
        <v>1359</v>
      </c>
      <c r="E24" s="1505" t="s">
        <v>22</v>
      </c>
      <c r="F24" s="1504" t="s">
        <v>23</v>
      </c>
      <c r="G24" s="1504">
        <v>1.54</v>
      </c>
      <c r="H24" s="1125">
        <v>26.130000000000003</v>
      </c>
      <c r="I24" s="1125"/>
      <c r="J24" s="1125">
        <v>26.130000000000003</v>
      </c>
      <c r="K24" s="1488"/>
      <c r="L24" s="1114"/>
      <c r="M24" s="1115"/>
      <c r="N24" s="1111"/>
      <c r="O24" s="1111"/>
      <c r="P24" s="1111"/>
      <c r="Q24" s="1111"/>
      <c r="R24" s="1111"/>
      <c r="S24" s="1111"/>
      <c r="T24" s="1111"/>
      <c r="U24" s="1111"/>
      <c r="V24" s="1111"/>
      <c r="W24" s="1111"/>
      <c r="X24" s="1111"/>
      <c r="Y24" s="1111"/>
    </row>
    <row r="25" spans="3:25" ht="21" customHeight="1">
      <c r="C25" s="1111"/>
      <c r="D25" s="1502" t="s">
        <v>1360</v>
      </c>
      <c r="E25" s="1217" t="s">
        <v>24</v>
      </c>
      <c r="F25" s="1504" t="s">
        <v>25</v>
      </c>
      <c r="G25" s="1504">
        <v>1724.6628000000003</v>
      </c>
      <c r="H25" s="1125">
        <v>1948.8689640000002</v>
      </c>
      <c r="I25" s="1125"/>
      <c r="J25" s="1125">
        <v>2089.1875294080005</v>
      </c>
      <c r="K25" s="1488"/>
      <c r="L25" s="1114"/>
      <c r="M25" s="1115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</row>
    <row r="26" spans="3:25" ht="15">
      <c r="C26" s="1111"/>
      <c r="D26" s="1283"/>
      <c r="E26" s="1284"/>
      <c r="F26" s="1126"/>
      <c r="G26" s="1126"/>
      <c r="H26" s="1127"/>
      <c r="I26" s="1127"/>
      <c r="J26" s="1127"/>
      <c r="K26" s="1127"/>
      <c r="L26" s="1114"/>
      <c r="M26" s="1115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</row>
    <row r="27" spans="3:25" ht="15">
      <c r="C27" s="1111"/>
      <c r="D27" s="1285" t="s">
        <v>26</v>
      </c>
      <c r="E27" s="1285"/>
      <c r="F27" s="1285"/>
      <c r="G27" s="1285"/>
      <c r="H27" s="1127"/>
      <c r="I27" s="1127"/>
      <c r="J27" s="1127"/>
      <c r="K27" s="1127"/>
      <c r="L27" s="1114"/>
      <c r="M27" s="1115"/>
      <c r="N27" s="1111"/>
      <c r="O27" s="1111"/>
      <c r="P27" s="1111"/>
      <c r="Q27" s="1111"/>
      <c r="R27" s="1111"/>
      <c r="S27" s="1111"/>
      <c r="T27" s="1111"/>
      <c r="U27" s="1111"/>
      <c r="V27" s="1111"/>
      <c r="W27" s="1111"/>
      <c r="X27" s="1111"/>
      <c r="Y27" s="1111"/>
    </row>
    <row r="28" spans="3:25" ht="15">
      <c r="C28" s="1111"/>
      <c r="D28" s="1285"/>
      <c r="E28" s="1285"/>
      <c r="F28" s="1285"/>
      <c r="G28" s="1285"/>
      <c r="H28" s="1127"/>
      <c r="I28" s="1127"/>
      <c r="J28" s="1127"/>
      <c r="K28" s="1127"/>
      <c r="L28" s="1114"/>
      <c r="M28" s="1115"/>
      <c r="N28" s="1111"/>
      <c r="O28" s="1111"/>
      <c r="P28" s="1111"/>
      <c r="Q28" s="1111"/>
      <c r="R28" s="1111"/>
      <c r="S28" s="1111"/>
      <c r="T28" s="1111"/>
      <c r="U28" s="1111"/>
      <c r="V28" s="1111"/>
      <c r="W28" s="1111"/>
      <c r="X28" s="1111"/>
      <c r="Y28" s="1111"/>
    </row>
    <row r="29" spans="3:25" ht="32.25" customHeight="1">
      <c r="C29" s="1111"/>
      <c r="D29" s="1536" t="s">
        <v>1</v>
      </c>
      <c r="E29" s="1206" t="s">
        <v>2</v>
      </c>
      <c r="F29" s="1206" t="s">
        <v>3</v>
      </c>
      <c r="G29" s="1502">
        <v>2012</v>
      </c>
      <c r="H29" s="1494">
        <v>2013</v>
      </c>
      <c r="I29" s="1494" t="s">
        <v>636</v>
      </c>
      <c r="J29" s="1494">
        <v>2014</v>
      </c>
      <c r="K29" s="1482"/>
      <c r="L29" s="1114"/>
      <c r="M29" s="1115"/>
      <c r="N29" s="1111"/>
      <c r="O29" s="1111"/>
      <c r="P29" s="1111"/>
      <c r="Q29" s="1111"/>
      <c r="R29" s="1111"/>
      <c r="S29" s="1111"/>
      <c r="T29" s="1111"/>
      <c r="U29" s="1111"/>
      <c r="V29" s="1111"/>
      <c r="W29" s="1111"/>
      <c r="X29" s="1111"/>
      <c r="Y29" s="1111"/>
    </row>
    <row r="30" spans="3:25" ht="27.75" customHeight="1">
      <c r="C30" s="1111"/>
      <c r="D30" s="1537" t="s">
        <v>292</v>
      </c>
      <c r="E30" s="1201" t="s">
        <v>27</v>
      </c>
      <c r="F30" s="1218" t="s">
        <v>15</v>
      </c>
      <c r="G30" s="1218">
        <v>271.28</v>
      </c>
      <c r="H30" s="1173">
        <v>271.28</v>
      </c>
      <c r="I30" s="1173"/>
      <c r="J30" s="1173">
        <v>271.28000000000003</v>
      </c>
      <c r="K30" s="1560"/>
      <c r="L30" s="1114"/>
      <c r="M30" s="1115"/>
      <c r="N30" s="1111"/>
      <c r="O30" s="1111"/>
      <c r="P30" s="1111"/>
      <c r="Q30" s="1111"/>
      <c r="R30" s="1111"/>
      <c r="S30" s="1111"/>
      <c r="T30" s="1111"/>
      <c r="U30" s="1111"/>
      <c r="V30" s="1111"/>
      <c r="W30" s="1111"/>
      <c r="X30" s="1111"/>
      <c r="Y30" s="1111"/>
    </row>
    <row r="31" spans="3:25" ht="23.25" customHeight="1">
      <c r="C31" s="1111"/>
      <c r="D31" s="1537" t="s">
        <v>293</v>
      </c>
      <c r="E31" s="1201" t="s">
        <v>28</v>
      </c>
      <c r="F31" s="1218" t="s">
        <v>1521</v>
      </c>
      <c r="G31" s="1572">
        <v>0.08564110773171113</v>
      </c>
      <c r="H31" s="1209">
        <v>0</v>
      </c>
      <c r="I31" s="1209">
        <v>0</v>
      </c>
      <c r="J31" s="1209">
        <v>2.095378165025362E-16</v>
      </c>
      <c r="K31" s="1489"/>
      <c r="L31" s="1114"/>
      <c r="M31" s="1115"/>
      <c r="N31" s="1111"/>
      <c r="O31" s="1111"/>
      <c r="P31" s="1111"/>
      <c r="Q31" s="1111"/>
      <c r="R31" s="1111"/>
      <c r="S31" s="1111"/>
      <c r="T31" s="1111"/>
      <c r="U31" s="1111"/>
      <c r="V31" s="1111"/>
      <c r="W31" s="1111"/>
      <c r="X31" s="1111"/>
      <c r="Y31" s="1111"/>
    </row>
    <row r="32" spans="3:25" ht="27.75" customHeight="1" thickBot="1">
      <c r="C32" s="1111"/>
      <c r="D32" s="1537" t="s">
        <v>1354</v>
      </c>
      <c r="E32" s="1219" t="s">
        <v>29</v>
      </c>
      <c r="F32" s="1220"/>
      <c r="G32" s="1220"/>
      <c r="H32" s="1130">
        <v>0.75</v>
      </c>
      <c r="I32" s="1130"/>
      <c r="J32" s="1130">
        <v>0.75</v>
      </c>
      <c r="K32" s="1561"/>
      <c r="L32" s="1114"/>
      <c r="M32" s="1115"/>
      <c r="N32" s="1111"/>
      <c r="O32" s="1111"/>
      <c r="P32" s="1111"/>
      <c r="Q32" s="1111"/>
      <c r="R32" s="1111"/>
      <c r="S32" s="1111"/>
      <c r="T32" s="1111"/>
      <c r="U32" s="1111"/>
      <c r="V32" s="1111"/>
      <c r="W32" s="1111"/>
      <c r="X32" s="1111"/>
      <c r="Y32" s="1111"/>
    </row>
    <row r="33" spans="3:25" ht="18.75" customHeight="1" thickBot="1">
      <c r="C33" s="1111"/>
      <c r="D33" s="1537" t="s">
        <v>1355</v>
      </c>
      <c r="E33" s="1508" t="s">
        <v>30</v>
      </c>
      <c r="F33" s="1509"/>
      <c r="G33" s="1509" t="s">
        <v>5</v>
      </c>
      <c r="H33" s="1129">
        <v>1.06029</v>
      </c>
      <c r="I33" s="1129">
        <f>(1+I18)*(1-I9)*(1+I31*I10)</f>
        <v>1.05732</v>
      </c>
      <c r="J33" s="1129">
        <v>1.0454400000000004</v>
      </c>
      <c r="K33" s="1569"/>
      <c r="L33" s="1899" t="s">
        <v>31</v>
      </c>
      <c r="M33" s="1900"/>
      <c r="N33" s="1900"/>
      <c r="O33" s="1900"/>
      <c r="P33" s="1900"/>
      <c r="Q33" s="1900"/>
      <c r="R33" s="1900"/>
      <c r="S33" s="1900"/>
      <c r="T33" s="1900"/>
      <c r="U33" s="1900"/>
      <c r="V33" s="1900"/>
      <c r="W33" s="1900"/>
      <c r="X33" s="1900"/>
      <c r="Y33" s="1901"/>
    </row>
    <row r="34" spans="3:25" ht="15">
      <c r="C34" s="1111"/>
      <c r="D34" s="1120"/>
      <c r="E34" s="1120"/>
      <c r="F34" s="1120"/>
      <c r="G34" s="1120"/>
      <c r="H34" s="1120"/>
      <c r="I34" s="1120"/>
      <c r="J34" s="1120"/>
      <c r="K34" s="1120"/>
      <c r="L34" s="1114"/>
      <c r="M34" s="1115"/>
      <c r="N34" s="1111"/>
      <c r="O34" s="1111"/>
      <c r="P34" s="1111"/>
      <c r="Q34" s="1111"/>
      <c r="R34" s="1111"/>
      <c r="S34" s="1111"/>
      <c r="T34" s="1111"/>
      <c r="U34" s="1111"/>
      <c r="V34" s="1111"/>
      <c r="W34" s="1111"/>
      <c r="X34" s="1111"/>
      <c r="Y34" s="1111"/>
    </row>
    <row r="35" spans="3:25" ht="15">
      <c r="C35" s="1111"/>
      <c r="E35" s="1120"/>
      <c r="F35" s="1120"/>
      <c r="G35" s="1120"/>
      <c r="H35" s="1120"/>
      <c r="I35" s="1120"/>
      <c r="J35" s="1120"/>
      <c r="K35" s="1120"/>
      <c r="L35" s="1114"/>
      <c r="M35" s="1115"/>
      <c r="N35" s="1111"/>
      <c r="O35" s="1111"/>
      <c r="P35" s="1111"/>
      <c r="Q35" s="1111"/>
      <c r="R35" s="1111"/>
      <c r="S35" s="1111"/>
      <c r="T35" s="1111"/>
      <c r="U35" s="1111"/>
      <c r="V35" s="1111"/>
      <c r="W35" s="1111"/>
      <c r="X35" s="1111"/>
      <c r="Y35" s="1111"/>
    </row>
    <row r="36" spans="3:25" ht="15">
      <c r="C36" s="1111"/>
      <c r="D36" s="1131" t="s">
        <v>32</v>
      </c>
      <c r="E36" s="1131"/>
      <c r="F36" s="1120"/>
      <c r="G36" s="1120"/>
      <c r="H36" s="1120"/>
      <c r="I36" s="1120"/>
      <c r="J36" s="1120"/>
      <c r="K36" s="1120"/>
      <c r="L36" s="1114"/>
      <c r="M36" s="1115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</row>
    <row r="37" spans="3:25" ht="15">
      <c r="C37" s="1111"/>
      <c r="D37" s="1132"/>
      <c r="E37" s="1132"/>
      <c r="F37" s="1132"/>
      <c r="G37" s="1132"/>
      <c r="H37" s="1132"/>
      <c r="I37" s="1132"/>
      <c r="J37" s="1132"/>
      <c r="K37" s="1132"/>
      <c r="L37" s="1114"/>
      <c r="M37" s="1115"/>
      <c r="N37" s="1111"/>
      <c r="O37" s="1111"/>
      <c r="P37" s="1111"/>
      <c r="Q37" s="1111"/>
      <c r="R37" s="1111"/>
      <c r="S37" s="1111"/>
      <c r="T37" s="1111"/>
      <c r="U37" s="1111"/>
      <c r="V37" s="1111"/>
      <c r="W37" s="1111"/>
      <c r="X37" s="1111"/>
      <c r="Y37" s="1111"/>
    </row>
    <row r="38" spans="3:25" ht="54.75" customHeight="1">
      <c r="C38" s="1111"/>
      <c r="D38" s="1513" t="s">
        <v>33</v>
      </c>
      <c r="E38" s="1494" t="s">
        <v>34</v>
      </c>
      <c r="F38" s="1494" t="s">
        <v>1413</v>
      </c>
      <c r="G38" s="1494">
        <v>2012</v>
      </c>
      <c r="H38" s="1494">
        <v>2013</v>
      </c>
      <c r="I38" s="1494" t="s">
        <v>636</v>
      </c>
      <c r="J38" s="1494">
        <v>2014</v>
      </c>
      <c r="K38" s="1482"/>
      <c r="L38" s="1114"/>
      <c r="M38" s="1115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</row>
    <row r="39" spans="3:25" ht="30.75" customHeight="1">
      <c r="C39" s="1111"/>
      <c r="D39" s="1514" t="s">
        <v>125</v>
      </c>
      <c r="E39" s="1133" t="s">
        <v>35</v>
      </c>
      <c r="F39" s="1220" t="s">
        <v>1527</v>
      </c>
      <c r="G39" s="1220">
        <v>99.435</v>
      </c>
      <c r="H39" s="1134">
        <v>105.42993615</v>
      </c>
      <c r="I39" s="1134"/>
      <c r="J39" s="1512">
        <v>110.22067244865605</v>
      </c>
      <c r="K39" s="1533"/>
      <c r="L39" s="1114"/>
      <c r="M39" s="1115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</row>
    <row r="40" spans="3:25" ht="27.75" customHeight="1">
      <c r="C40" s="1111"/>
      <c r="D40" s="1515" t="s">
        <v>2503</v>
      </c>
      <c r="E40" s="1135" t="s">
        <v>36</v>
      </c>
      <c r="F40" s="1509" t="s">
        <v>1527</v>
      </c>
      <c r="G40" s="1509">
        <v>99.435</v>
      </c>
      <c r="H40" s="1210">
        <v>105.42993615</v>
      </c>
      <c r="I40" s="1210"/>
      <c r="J40" s="1210">
        <v>110.22067244865605</v>
      </c>
      <c r="K40" s="1570"/>
      <c r="L40" s="1114"/>
      <c r="M40" s="1115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</row>
    <row r="41" spans="3:25" ht="21.75" customHeight="1">
      <c r="C41" s="1111"/>
      <c r="D41" s="1515" t="s">
        <v>1611</v>
      </c>
      <c r="E41" s="1135" t="s">
        <v>37</v>
      </c>
      <c r="F41" s="1509"/>
      <c r="G41" s="1509"/>
      <c r="H41" s="1210">
        <v>0</v>
      </c>
      <c r="I41" s="1210"/>
      <c r="J41" s="1210">
        <v>0</v>
      </c>
      <c r="K41" s="1570"/>
      <c r="L41" s="1114"/>
      <c r="M41" s="1115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</row>
    <row r="42" spans="3:25" ht="26.25" customHeight="1">
      <c r="C42" s="1111"/>
      <c r="D42" s="1514" t="s">
        <v>128</v>
      </c>
      <c r="E42" s="1133" t="s">
        <v>38</v>
      </c>
      <c r="F42" s="1220" t="s">
        <v>1527</v>
      </c>
      <c r="G42" s="1220">
        <v>814.5066971222598</v>
      </c>
      <c r="H42" s="1134">
        <v>863.6133058917608</v>
      </c>
      <c r="I42" s="1134">
        <f>G42*I33</f>
        <v>861.1942210013077</v>
      </c>
      <c r="J42" s="1512">
        <v>902.8558945114827</v>
      </c>
      <c r="K42" s="1533"/>
      <c r="M42" s="1115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</row>
    <row r="43" spans="3:25" ht="16.5" customHeight="1">
      <c r="C43" s="1111"/>
      <c r="D43" s="1516" t="s">
        <v>1426</v>
      </c>
      <c r="E43" s="1136" t="s">
        <v>39</v>
      </c>
      <c r="F43" s="1220" t="s">
        <v>1527</v>
      </c>
      <c r="G43" s="1220">
        <v>106.6880705</v>
      </c>
      <c r="H43" s="1137">
        <v>113.12029427044499</v>
      </c>
      <c r="I43" s="1137"/>
      <c r="J43" s="1137">
        <v>118.26048044209405</v>
      </c>
      <c r="K43" s="1532"/>
      <c r="L43" s="1114"/>
      <c r="M43" s="1115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</row>
    <row r="44" spans="3:25" ht="20.25" customHeight="1">
      <c r="C44" s="1111"/>
      <c r="D44" s="1515" t="s">
        <v>40</v>
      </c>
      <c r="E44" s="1135" t="s">
        <v>41</v>
      </c>
      <c r="F44" s="1509" t="s">
        <v>1527</v>
      </c>
      <c r="G44" s="1509">
        <v>77.904</v>
      </c>
      <c r="H44" s="1211">
        <v>82.60083216</v>
      </c>
      <c r="I44" s="1211"/>
      <c r="J44" s="1210">
        <v>86.35421397335043</v>
      </c>
      <c r="K44" s="1570"/>
      <c r="L44" s="1114"/>
      <c r="M44" s="1115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</row>
    <row r="45" spans="3:25" ht="27" customHeight="1">
      <c r="C45" s="1111"/>
      <c r="D45" s="1515" t="s">
        <v>42</v>
      </c>
      <c r="E45" s="1135" t="s">
        <v>43</v>
      </c>
      <c r="F45" s="1509" t="s">
        <v>1527</v>
      </c>
      <c r="G45" s="1509">
        <v>0</v>
      </c>
      <c r="H45" s="1211"/>
      <c r="I45" s="1211"/>
      <c r="J45" s="1210"/>
      <c r="K45" s="1570"/>
      <c r="L45" s="1114"/>
      <c r="M45" s="1115"/>
      <c r="N45" s="1111"/>
      <c r="O45" s="1111"/>
      <c r="P45" s="1111"/>
      <c r="Q45" s="1111"/>
      <c r="R45" s="1111"/>
      <c r="S45" s="1111"/>
      <c r="T45" s="1111"/>
      <c r="U45" s="1111"/>
      <c r="V45" s="1111"/>
      <c r="W45" s="1111"/>
      <c r="X45" s="1111"/>
      <c r="Y45" s="1111"/>
    </row>
    <row r="46" spans="3:25" ht="27.75" customHeight="1">
      <c r="C46" s="1111"/>
      <c r="D46" s="1515" t="s">
        <v>44</v>
      </c>
      <c r="E46" s="1135" t="s">
        <v>45</v>
      </c>
      <c r="F46" s="1509" t="s">
        <v>1527</v>
      </c>
      <c r="G46" s="1509"/>
      <c r="H46" s="1210"/>
      <c r="I46" s="1210"/>
      <c r="J46" s="1210"/>
      <c r="K46" s="1570"/>
      <c r="L46" s="1114"/>
      <c r="M46" s="1115"/>
      <c r="N46" s="1111"/>
      <c r="O46" s="1111"/>
      <c r="P46" s="1111"/>
      <c r="Q46" s="1111"/>
      <c r="R46" s="1111"/>
      <c r="S46" s="1111"/>
      <c r="T46" s="1111"/>
      <c r="U46" s="1111"/>
      <c r="V46" s="1111"/>
      <c r="W46" s="1111"/>
      <c r="X46" s="1111"/>
      <c r="Y46" s="1111"/>
    </row>
    <row r="47" spans="3:25" ht="30" customHeight="1">
      <c r="C47" s="1111"/>
      <c r="D47" s="1515" t="s">
        <v>46</v>
      </c>
      <c r="E47" s="1135" t="s">
        <v>47</v>
      </c>
      <c r="F47" s="1509" t="s">
        <v>1527</v>
      </c>
      <c r="G47" s="1509"/>
      <c r="H47" s="1210"/>
      <c r="I47" s="1210"/>
      <c r="J47" s="1210"/>
      <c r="K47" s="1570"/>
      <c r="L47" s="1114"/>
      <c r="M47" s="1115"/>
      <c r="N47" s="1111"/>
      <c r="O47" s="1111"/>
      <c r="P47" s="1111"/>
      <c r="Q47" s="1111"/>
      <c r="R47" s="1111"/>
      <c r="S47" s="1111"/>
      <c r="T47" s="1111"/>
      <c r="U47" s="1111"/>
      <c r="V47" s="1111"/>
      <c r="W47" s="1111"/>
      <c r="X47" s="1111"/>
      <c r="Y47" s="1111"/>
    </row>
    <row r="48" spans="3:25" ht="41.25" customHeight="1">
      <c r="C48" s="1111"/>
      <c r="D48" s="1515" t="s">
        <v>48</v>
      </c>
      <c r="E48" s="1135" t="s">
        <v>49</v>
      </c>
      <c r="F48" s="1509" t="s">
        <v>1527</v>
      </c>
      <c r="G48" s="1509">
        <v>13.584070500000001</v>
      </c>
      <c r="H48" s="1211">
        <v>14.403054110445</v>
      </c>
      <c r="I48" s="1211"/>
      <c r="J48" s="1210">
        <v>15.057528889223626</v>
      </c>
      <c r="K48" s="1570"/>
      <c r="L48" s="1114"/>
      <c r="M48" s="1115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</row>
    <row r="49" spans="3:25" ht="35.25" customHeight="1">
      <c r="C49" s="1111"/>
      <c r="D49" s="1515" t="s">
        <v>50</v>
      </c>
      <c r="E49" s="1135" t="s">
        <v>51</v>
      </c>
      <c r="F49" s="1509" t="s">
        <v>1527</v>
      </c>
      <c r="G49" s="1509">
        <v>0</v>
      </c>
      <c r="H49" s="1210">
        <v>0</v>
      </c>
      <c r="I49" s="1210"/>
      <c r="J49" s="1210">
        <v>0</v>
      </c>
      <c r="K49" s="1570"/>
      <c r="L49" s="1114"/>
      <c r="M49" s="1115"/>
      <c r="N49" s="1111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</row>
    <row r="50" spans="3:25" ht="23.25" customHeight="1">
      <c r="C50" s="1111"/>
      <c r="D50" s="1515" t="s">
        <v>52</v>
      </c>
      <c r="E50" s="1135" t="s">
        <v>53</v>
      </c>
      <c r="F50" s="1509" t="s">
        <v>1527</v>
      </c>
      <c r="G50" s="1509">
        <v>15.2</v>
      </c>
      <c r="H50" s="1211">
        <v>16.116408</v>
      </c>
      <c r="I50" s="1211"/>
      <c r="J50" s="1210">
        <v>16.848737579520005</v>
      </c>
      <c r="K50" s="1570"/>
      <c r="L50" s="1114"/>
      <c r="M50" s="1115"/>
      <c r="N50" s="1111"/>
      <c r="O50" s="1111"/>
      <c r="P50" s="1111"/>
      <c r="Q50" s="1111"/>
      <c r="R50" s="1111"/>
      <c r="S50" s="1111"/>
      <c r="T50" s="1111"/>
      <c r="U50" s="1111"/>
      <c r="V50" s="1111"/>
      <c r="W50" s="1111"/>
      <c r="X50" s="1111"/>
      <c r="Y50" s="1111"/>
    </row>
    <row r="51" spans="3:25" ht="23.25" customHeight="1">
      <c r="C51" s="1111"/>
      <c r="D51" s="1515" t="s">
        <v>54</v>
      </c>
      <c r="E51" s="1135" t="s">
        <v>55</v>
      </c>
      <c r="F51" s="1509" t="s">
        <v>1527</v>
      </c>
      <c r="G51" s="1509"/>
      <c r="H51" s="1211"/>
      <c r="I51" s="1211"/>
      <c r="J51" s="1210"/>
      <c r="K51" s="1570"/>
      <c r="L51" s="1114"/>
      <c r="M51" s="1115"/>
      <c r="N51" s="1111"/>
      <c r="O51" s="1111"/>
      <c r="P51" s="1111"/>
      <c r="Q51" s="1111"/>
      <c r="R51" s="1111"/>
      <c r="S51" s="1111"/>
      <c r="T51" s="1111"/>
      <c r="U51" s="1111"/>
      <c r="V51" s="1111"/>
      <c r="W51" s="1111"/>
      <c r="X51" s="1111"/>
      <c r="Y51" s="1111"/>
    </row>
    <row r="52" spans="3:25" ht="15.75">
      <c r="C52" s="1111"/>
      <c r="D52" s="1515"/>
      <c r="E52" s="1138"/>
      <c r="F52" s="1509"/>
      <c r="G52" s="1509"/>
      <c r="H52" s="1211"/>
      <c r="I52" s="1211"/>
      <c r="J52" s="1477"/>
      <c r="K52" s="1562"/>
      <c r="L52" s="1114"/>
      <c r="M52" s="1115"/>
      <c r="N52" s="1111"/>
      <c r="O52" s="1111"/>
      <c r="P52" s="1111"/>
      <c r="Q52" s="1111"/>
      <c r="R52" s="1111"/>
      <c r="S52" s="1111"/>
      <c r="T52" s="1111"/>
      <c r="U52" s="1111"/>
      <c r="V52" s="1111"/>
      <c r="W52" s="1111"/>
      <c r="X52" s="1111"/>
      <c r="Y52" s="1111"/>
    </row>
    <row r="53" spans="3:25" ht="28.5" customHeight="1">
      <c r="C53" s="1111"/>
      <c r="D53" s="1517"/>
      <c r="E53" s="1133" t="s">
        <v>56</v>
      </c>
      <c r="F53" s="1220" t="s">
        <v>1527</v>
      </c>
      <c r="G53" s="1512">
        <f>G39+G42+G43</f>
        <v>1020.6297676222597</v>
      </c>
      <c r="H53" s="1512">
        <f>H39+H42+H43</f>
        <v>1082.1635363122057</v>
      </c>
      <c r="I53" s="1512"/>
      <c r="J53" s="1512">
        <f>J39+J42+J43</f>
        <v>1131.3370474022329</v>
      </c>
      <c r="K53" s="1533"/>
      <c r="L53" s="1114"/>
      <c r="M53" s="1115"/>
      <c r="N53" s="1111"/>
      <c r="O53" s="1111"/>
      <c r="P53" s="1111"/>
      <c r="Q53" s="1111"/>
      <c r="R53" s="1111"/>
      <c r="S53" s="1111"/>
      <c r="T53" s="1111"/>
      <c r="U53" s="1111"/>
      <c r="V53" s="1111"/>
      <c r="W53" s="1111"/>
      <c r="X53" s="1111"/>
      <c r="Y53" s="1111"/>
    </row>
    <row r="54" spans="3:25" ht="15">
      <c r="C54" s="1111"/>
      <c r="D54" s="1566"/>
      <c r="E54" s="1566"/>
      <c r="F54" s="1566"/>
      <c r="G54" s="1566"/>
      <c r="H54" s="1567">
        <v>1.06029</v>
      </c>
      <c r="I54" s="1567"/>
      <c r="J54" s="1567"/>
      <c r="K54" s="1567"/>
      <c r="L54" s="1276"/>
      <c r="M54" s="1115"/>
      <c r="N54" s="1111"/>
      <c r="O54" s="1111"/>
      <c r="P54" s="1111"/>
      <c r="Q54" s="1111"/>
      <c r="R54" s="1111"/>
      <c r="S54" s="1111"/>
      <c r="T54" s="1111"/>
      <c r="U54" s="1111"/>
      <c r="V54" s="1111"/>
      <c r="W54" s="1111"/>
      <c r="X54" s="1111"/>
      <c r="Y54" s="1111"/>
    </row>
    <row r="55" spans="3:25" ht="15">
      <c r="C55" s="1111"/>
      <c r="D55" s="1566"/>
      <c r="E55" s="1566"/>
      <c r="F55" s="1566"/>
      <c r="G55" s="1566"/>
      <c r="H55" s="1567"/>
      <c r="I55" s="1567"/>
      <c r="J55" s="1567"/>
      <c r="K55" s="1567"/>
      <c r="L55" s="1276"/>
      <c r="M55" s="1115"/>
      <c r="N55" s="1111"/>
      <c r="O55" s="1111"/>
      <c r="P55" s="1111"/>
      <c r="Q55" s="1111"/>
      <c r="R55" s="1111"/>
      <c r="S55" s="1111"/>
      <c r="T55" s="1111"/>
      <c r="U55" s="1111"/>
      <c r="V55" s="1111"/>
      <c r="W55" s="1111"/>
      <c r="X55" s="1111"/>
      <c r="Y55" s="1111"/>
    </row>
    <row r="56" spans="2:25" ht="15">
      <c r="B56" s="15"/>
      <c r="C56" s="1115"/>
      <c r="D56" s="1159" t="s">
        <v>2477</v>
      </c>
      <c r="E56" s="1566"/>
      <c r="F56" s="1566"/>
      <c r="G56" s="1566"/>
      <c r="H56" s="1567"/>
      <c r="I56" s="1567"/>
      <c r="J56" s="1567"/>
      <c r="K56" s="1567"/>
      <c r="L56" s="1276"/>
      <c r="M56" s="1115"/>
      <c r="N56" s="1111"/>
      <c r="O56" s="1111"/>
      <c r="P56" s="1111"/>
      <c r="Q56" s="1111"/>
      <c r="R56" s="1111"/>
      <c r="S56" s="1111"/>
      <c r="T56" s="1111"/>
      <c r="U56" s="1111"/>
      <c r="V56" s="1111"/>
      <c r="W56" s="1111"/>
      <c r="X56" s="1111"/>
      <c r="Y56" s="1111"/>
    </row>
    <row r="57" spans="2:25" ht="15">
      <c r="B57" s="15"/>
      <c r="C57" s="1115"/>
      <c r="D57" s="1131" t="s">
        <v>57</v>
      </c>
      <c r="E57" s="1285"/>
      <c r="F57" s="1140"/>
      <c r="G57" s="1140"/>
      <c r="H57" s="1140"/>
      <c r="I57" s="1140"/>
      <c r="J57" s="1140"/>
      <c r="K57" s="1140"/>
      <c r="L57" s="1276"/>
      <c r="M57" s="1115"/>
      <c r="N57" s="1111"/>
      <c r="O57" s="1111"/>
      <c r="P57" s="1111"/>
      <c r="Q57" s="1111"/>
      <c r="R57" s="1111"/>
      <c r="S57" s="1111"/>
      <c r="T57" s="1111"/>
      <c r="U57" s="1111"/>
      <c r="V57" s="1111"/>
      <c r="W57" s="1111"/>
      <c r="X57" s="1111"/>
      <c r="Y57" s="1111"/>
    </row>
    <row r="58" spans="2:25" ht="15">
      <c r="B58" s="15"/>
      <c r="C58" s="1115"/>
      <c r="D58" s="1132"/>
      <c r="E58" s="1128"/>
      <c r="F58" s="1128"/>
      <c r="G58" s="1128"/>
      <c r="H58" s="1128"/>
      <c r="I58" s="1128"/>
      <c r="J58" s="1128"/>
      <c r="K58" s="1128"/>
      <c r="L58" s="1276"/>
      <c r="M58" s="1115"/>
      <c r="N58" s="1111"/>
      <c r="O58" s="1111"/>
      <c r="P58" s="1111"/>
      <c r="Q58" s="1111"/>
      <c r="R58" s="1111"/>
      <c r="S58" s="1111"/>
      <c r="T58" s="1111"/>
      <c r="U58" s="1111"/>
      <c r="V58" s="1111"/>
      <c r="W58" s="1111"/>
      <c r="X58" s="1111"/>
      <c r="Y58" s="1111"/>
    </row>
    <row r="59" spans="3:25" ht="37.5" customHeight="1">
      <c r="C59" s="1111"/>
      <c r="D59" s="1513" t="s">
        <v>33</v>
      </c>
      <c r="E59" s="1494" t="s">
        <v>34</v>
      </c>
      <c r="F59" s="1494" t="s">
        <v>1413</v>
      </c>
      <c r="G59" s="1494">
        <v>2012</v>
      </c>
      <c r="H59" s="1494">
        <v>2013</v>
      </c>
      <c r="I59" s="1494" t="s">
        <v>636</v>
      </c>
      <c r="J59" s="1494">
        <v>2014</v>
      </c>
      <c r="K59" s="1482"/>
      <c r="L59" s="1114"/>
      <c r="M59" s="1115"/>
      <c r="N59" s="1111"/>
      <c r="O59" s="1111"/>
      <c r="P59" s="1111"/>
      <c r="Q59" s="1111"/>
      <c r="R59" s="1111"/>
      <c r="S59" s="1111"/>
      <c r="T59" s="1111"/>
      <c r="U59" s="1111"/>
      <c r="V59" s="1111"/>
      <c r="W59" s="1111"/>
      <c r="X59" s="1111"/>
      <c r="Y59" s="1111"/>
    </row>
    <row r="60" spans="3:25" ht="26.25" customHeight="1">
      <c r="C60" s="1111"/>
      <c r="D60" s="1518" t="s">
        <v>1267</v>
      </c>
      <c r="E60" s="1519" t="s">
        <v>58</v>
      </c>
      <c r="F60" s="1141" t="s">
        <v>1527</v>
      </c>
      <c r="G60" s="1141"/>
      <c r="H60" s="1142"/>
      <c r="I60" s="1142"/>
      <c r="J60" s="1142"/>
      <c r="K60" s="1490"/>
      <c r="L60" s="1114"/>
      <c r="M60" s="1115"/>
      <c r="N60" s="1111"/>
      <c r="O60" s="1111"/>
      <c r="P60" s="1111"/>
      <c r="Q60" s="1111"/>
      <c r="R60" s="1111"/>
      <c r="S60" s="1111"/>
      <c r="T60" s="1111"/>
      <c r="U60" s="1111"/>
      <c r="V60" s="1111"/>
      <c r="W60" s="1111"/>
      <c r="X60" s="1111"/>
      <c r="Y60" s="1111"/>
    </row>
    <row r="61" spans="3:25" ht="27" customHeight="1">
      <c r="C61" s="1111"/>
      <c r="D61" s="1518" t="s">
        <v>1268</v>
      </c>
      <c r="E61" s="1519" t="s">
        <v>59</v>
      </c>
      <c r="F61" s="1141" t="s">
        <v>1527</v>
      </c>
      <c r="G61" s="1141">
        <v>13.94</v>
      </c>
      <c r="H61" s="1142">
        <v>13.94</v>
      </c>
      <c r="I61" s="1142">
        <v>13.94</v>
      </c>
      <c r="J61" s="1142">
        <v>20.91864</v>
      </c>
      <c r="K61" s="1490"/>
      <c r="M61" s="1115"/>
      <c r="N61" s="1111"/>
      <c r="O61" s="1111"/>
      <c r="P61" s="1111"/>
      <c r="Q61" s="1111"/>
      <c r="R61" s="1111"/>
      <c r="S61" s="1111"/>
      <c r="T61" s="1111"/>
      <c r="U61" s="1111"/>
      <c r="V61" s="1111"/>
      <c r="W61" s="1111"/>
      <c r="X61" s="1111"/>
      <c r="Y61" s="1111"/>
    </row>
    <row r="62" spans="3:25" ht="20.25" customHeight="1">
      <c r="C62" s="1111"/>
      <c r="D62" s="1518" t="s">
        <v>60</v>
      </c>
      <c r="E62" s="1519" t="s">
        <v>61</v>
      </c>
      <c r="F62" s="1141" t="s">
        <v>1527</v>
      </c>
      <c r="G62" s="1141">
        <v>42.722640000000006</v>
      </c>
      <c r="H62" s="1142">
        <v>48.276583200000005</v>
      </c>
      <c r="I62" s="1142"/>
      <c r="J62" s="1142">
        <v>51.75249719040001</v>
      </c>
      <c r="K62" s="1490"/>
      <c r="L62" s="1114"/>
      <c r="M62" s="1115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1"/>
      <c r="Y62" s="1111"/>
    </row>
    <row r="63" spans="3:25" ht="27.75" customHeight="1">
      <c r="C63" s="1111"/>
      <c r="D63" s="1520" t="s">
        <v>1264</v>
      </c>
      <c r="E63" s="1519" t="s">
        <v>62</v>
      </c>
      <c r="F63" s="1143" t="s">
        <v>1527</v>
      </c>
      <c r="G63" s="1143">
        <v>281.8193172043019</v>
      </c>
      <c r="H63" s="1144">
        <v>264.2656716028788</v>
      </c>
      <c r="I63" s="1144">
        <f>30.6%*I42</f>
        <v>263.5254316264002</v>
      </c>
      <c r="J63" s="1278">
        <v>276.2739037205137</v>
      </c>
      <c r="K63" s="1534">
        <f>J63/J42</f>
        <v>0.306</v>
      </c>
      <c r="L63" s="1893"/>
      <c r="M63" s="1894"/>
      <c r="N63" s="1894"/>
      <c r="O63" s="1111"/>
      <c r="P63" s="1111"/>
      <c r="Q63" s="1111"/>
      <c r="R63" s="1111"/>
      <c r="S63" s="1111"/>
      <c r="T63" s="1111"/>
      <c r="U63" s="1111"/>
      <c r="V63" s="1111"/>
      <c r="W63" s="1111"/>
      <c r="X63" s="1111"/>
      <c r="Y63" s="1111"/>
    </row>
    <row r="64" spans="3:25" ht="21.75" customHeight="1">
      <c r="C64" s="1111"/>
      <c r="D64" s="1518" t="s">
        <v>1265</v>
      </c>
      <c r="E64" s="1135" t="s">
        <v>63</v>
      </c>
      <c r="F64" s="1141" t="s">
        <v>1527</v>
      </c>
      <c r="G64" s="1141">
        <v>142.83267320000002</v>
      </c>
      <c r="H64" s="1142">
        <v>167.31249770906442</v>
      </c>
      <c r="I64" s="1142"/>
      <c r="J64" s="1142">
        <v>426.97609070858357</v>
      </c>
      <c r="K64" s="1490"/>
      <c r="L64" s="1114"/>
      <c r="M64" s="1115"/>
      <c r="N64" s="1111"/>
      <c r="O64" s="1111"/>
      <c r="P64" s="1111"/>
      <c r="Q64" s="1111"/>
      <c r="R64" s="1111"/>
      <c r="S64" s="1111"/>
      <c r="T64" s="1111"/>
      <c r="U64" s="1111"/>
      <c r="V64" s="1111"/>
      <c r="W64" s="1111"/>
      <c r="X64" s="1111"/>
      <c r="Y64" s="1111"/>
    </row>
    <row r="65" spans="3:25" ht="23.25" customHeight="1">
      <c r="C65" s="1111"/>
      <c r="D65" s="1518" t="s">
        <v>64</v>
      </c>
      <c r="E65" s="1521" t="s">
        <v>65</v>
      </c>
      <c r="F65" s="1141" t="s">
        <v>1527</v>
      </c>
      <c r="G65" s="1141">
        <v>24.195280200000003</v>
      </c>
      <c r="H65" s="1142">
        <v>25.9131450942</v>
      </c>
      <c r="I65" s="1142">
        <v>25.9131450942</v>
      </c>
      <c r="J65" s="1142">
        <v>29.3264476</v>
      </c>
      <c r="K65" s="1490"/>
      <c r="L65" s="1114"/>
      <c r="M65" s="1115"/>
      <c r="N65" s="1111"/>
      <c r="O65" s="1111"/>
      <c r="P65" s="1111"/>
      <c r="Q65" s="1111"/>
      <c r="R65" s="1111"/>
      <c r="S65" s="1111"/>
      <c r="T65" s="1111"/>
      <c r="U65" s="1111"/>
      <c r="V65" s="1111"/>
      <c r="W65" s="1111"/>
      <c r="X65" s="1111"/>
      <c r="Y65" s="1111"/>
    </row>
    <row r="66" spans="3:25" ht="35.25" customHeight="1">
      <c r="C66" s="1111"/>
      <c r="D66" s="1518" t="s">
        <v>66</v>
      </c>
      <c r="E66" s="1135" t="s">
        <v>67</v>
      </c>
      <c r="F66" s="1141" t="s">
        <v>1527</v>
      </c>
      <c r="G66" s="1141">
        <v>5.3549999999999995</v>
      </c>
      <c r="H66" s="1142">
        <v>5.735205</v>
      </c>
      <c r="I66" s="1142">
        <v>5.75</v>
      </c>
      <c r="J66" s="1142">
        <v>6.05637648</v>
      </c>
      <c r="K66" s="1490"/>
      <c r="L66" s="1114"/>
      <c r="M66" s="1115"/>
      <c r="N66" s="1111"/>
      <c r="O66" s="1111"/>
      <c r="P66" s="1111"/>
      <c r="Q66" s="1111"/>
      <c r="R66" s="1111"/>
      <c r="S66" s="1111"/>
      <c r="T66" s="1111"/>
      <c r="U66" s="1111"/>
      <c r="V66" s="1111"/>
      <c r="W66" s="1111"/>
      <c r="X66" s="1111"/>
      <c r="Y66" s="1111"/>
    </row>
    <row r="67" spans="3:25" ht="24.75" customHeight="1">
      <c r="C67" s="1111"/>
      <c r="D67" s="1518" t="s">
        <v>68</v>
      </c>
      <c r="E67" s="1135" t="s">
        <v>575</v>
      </c>
      <c r="F67" s="1141" t="s">
        <v>1527</v>
      </c>
      <c r="G67" s="1141"/>
      <c r="H67" s="1142"/>
      <c r="I67" s="1142"/>
      <c r="J67" s="1142"/>
      <c r="K67" s="1490"/>
      <c r="L67" s="1114"/>
      <c r="M67" s="1115"/>
      <c r="N67" s="1111"/>
      <c r="O67" s="1111"/>
      <c r="P67" s="1111"/>
      <c r="Q67" s="1111"/>
      <c r="R67" s="1111"/>
      <c r="S67" s="1111"/>
      <c r="T67" s="1111"/>
      <c r="U67" s="1111"/>
      <c r="V67" s="1111"/>
      <c r="W67" s="1111"/>
      <c r="X67" s="1111"/>
      <c r="Y67" s="1111"/>
    </row>
    <row r="68" spans="3:25" ht="24.75" customHeight="1">
      <c r="C68" s="1111"/>
      <c r="D68" s="1518" t="s">
        <v>69</v>
      </c>
      <c r="E68" s="1135" t="s">
        <v>70</v>
      </c>
      <c r="F68" s="1141" t="s">
        <v>1527</v>
      </c>
      <c r="G68" s="1141"/>
      <c r="H68" s="1142"/>
      <c r="I68" s="1142"/>
      <c r="J68" s="1142"/>
      <c r="K68" s="1490"/>
      <c r="L68" s="1114"/>
      <c r="M68" s="1115"/>
      <c r="N68" s="1111"/>
      <c r="O68" s="1111"/>
      <c r="P68" s="1111"/>
      <c r="Q68" s="1111"/>
      <c r="R68" s="1111"/>
      <c r="S68" s="1111"/>
      <c r="T68" s="1111"/>
      <c r="U68" s="1111"/>
      <c r="V68" s="1111"/>
      <c r="W68" s="1111"/>
      <c r="X68" s="1111"/>
      <c r="Y68" s="1111"/>
    </row>
    <row r="69" spans="3:25" ht="20.25" customHeight="1">
      <c r="C69" s="1111"/>
      <c r="D69" s="1518" t="s">
        <v>71</v>
      </c>
      <c r="E69" s="1135" t="s">
        <v>72</v>
      </c>
      <c r="F69" s="1141" t="s">
        <v>1527</v>
      </c>
      <c r="G69" s="1141"/>
      <c r="H69" s="1142">
        <v>14.745762711864408</v>
      </c>
      <c r="I69" s="1142">
        <v>14.75</v>
      </c>
      <c r="J69" s="1142">
        <v>57.754237288135606</v>
      </c>
      <c r="K69" s="1490"/>
      <c r="L69" s="1114"/>
      <c r="M69" s="1115">
        <f>1160+290</f>
        <v>1450</v>
      </c>
      <c r="N69" s="1111"/>
      <c r="O69" s="1111"/>
      <c r="P69" s="1111"/>
      <c r="Q69" s="1111"/>
      <c r="R69" s="1111"/>
      <c r="S69" s="1111"/>
      <c r="T69" s="1111"/>
      <c r="U69" s="1111"/>
      <c r="V69" s="1111"/>
      <c r="W69" s="1111"/>
      <c r="X69" s="1111"/>
      <c r="Y69" s="1111"/>
    </row>
    <row r="70" spans="3:25" ht="19.5" customHeight="1">
      <c r="C70" s="1111"/>
      <c r="D70" s="1518" t="s">
        <v>73</v>
      </c>
      <c r="E70" s="1135" t="s">
        <v>74</v>
      </c>
      <c r="F70" s="1141" t="s">
        <v>1527</v>
      </c>
      <c r="G70" s="1141"/>
      <c r="H70" s="1142"/>
      <c r="I70" s="1142"/>
      <c r="J70" s="1142"/>
      <c r="K70" s="1490"/>
      <c r="L70" s="1114"/>
      <c r="M70" s="1115"/>
      <c r="N70" s="1111"/>
      <c r="O70" s="1111"/>
      <c r="P70" s="1111"/>
      <c r="Q70" s="1111"/>
      <c r="R70" s="1111"/>
      <c r="S70" s="1111"/>
      <c r="T70" s="1111"/>
      <c r="U70" s="1111"/>
      <c r="V70" s="1111"/>
      <c r="W70" s="1111"/>
      <c r="X70" s="1111"/>
      <c r="Y70" s="1111"/>
    </row>
    <row r="71" spans="3:25" ht="21" customHeight="1">
      <c r="C71" s="1111"/>
      <c r="D71" s="1518" t="s">
        <v>75</v>
      </c>
      <c r="E71" s="1135"/>
      <c r="F71" s="1141"/>
      <c r="G71" s="1141"/>
      <c r="H71" s="1142"/>
      <c r="I71" s="1142"/>
      <c r="J71" s="1142"/>
      <c r="K71" s="1490"/>
      <c r="L71" s="1114"/>
      <c r="M71" s="1115"/>
      <c r="N71" s="1111"/>
      <c r="O71" s="1111"/>
      <c r="P71" s="1111"/>
      <c r="Q71" s="1111"/>
      <c r="R71" s="1111"/>
      <c r="S71" s="1111"/>
      <c r="T71" s="1111"/>
      <c r="U71" s="1111"/>
      <c r="V71" s="1111"/>
      <c r="W71" s="1111"/>
      <c r="X71" s="1111"/>
      <c r="Y71" s="1111"/>
    </row>
    <row r="72" spans="3:25" ht="23.25" customHeight="1">
      <c r="C72" s="1111"/>
      <c r="D72" s="1203" t="s">
        <v>76</v>
      </c>
      <c r="E72" s="1135" t="s">
        <v>77</v>
      </c>
      <c r="F72" s="1141" t="s">
        <v>1527</v>
      </c>
      <c r="G72" s="1141">
        <v>84.322393</v>
      </c>
      <c r="H72" s="1142">
        <v>90.309282903</v>
      </c>
      <c r="I72" s="1142"/>
      <c r="J72" s="1142">
        <v>95.366602745568</v>
      </c>
      <c r="K72" s="1490"/>
      <c r="L72" s="1114"/>
      <c r="M72" s="1115"/>
      <c r="N72" s="1111"/>
      <c r="O72" s="1111"/>
      <c r="P72" s="1111"/>
      <c r="Q72" s="1111"/>
      <c r="R72" s="1111"/>
      <c r="S72" s="1111"/>
      <c r="T72" s="1111"/>
      <c r="U72" s="1111"/>
      <c r="V72" s="1111"/>
      <c r="W72" s="1111"/>
      <c r="X72" s="1111"/>
      <c r="Y72" s="1111"/>
    </row>
    <row r="73" spans="3:25" ht="15.75">
      <c r="C73" s="1111"/>
      <c r="D73" s="1203"/>
      <c r="E73" s="1146"/>
      <c r="F73" s="1147"/>
      <c r="G73" s="1147"/>
      <c r="H73" s="1145"/>
      <c r="I73" s="1145"/>
      <c r="J73" s="1145"/>
      <c r="K73" s="1491"/>
      <c r="L73" s="1114"/>
      <c r="M73" s="1115"/>
      <c r="N73" s="1111"/>
      <c r="O73" s="1111"/>
      <c r="P73" s="1111"/>
      <c r="Q73" s="1111"/>
      <c r="R73" s="1111"/>
      <c r="S73" s="1111"/>
      <c r="T73" s="1111"/>
      <c r="U73" s="1111"/>
      <c r="V73" s="1111"/>
      <c r="W73" s="1111"/>
      <c r="X73" s="1111"/>
      <c r="Y73" s="1111"/>
    </row>
    <row r="74" spans="3:25" ht="20.25" customHeight="1">
      <c r="C74" s="1111"/>
      <c r="D74" s="1520" t="s">
        <v>78</v>
      </c>
      <c r="E74" s="1138" t="s">
        <v>79</v>
      </c>
      <c r="F74" s="1143" t="s">
        <v>1527</v>
      </c>
      <c r="G74" s="1143">
        <v>28.96</v>
      </c>
      <c r="H74" s="1148">
        <v>30.609102</v>
      </c>
      <c r="I74" s="1148"/>
      <c r="J74" s="1148">
        <v>71.18422659488</v>
      </c>
      <c r="K74" s="1563"/>
      <c r="L74" s="1114"/>
      <c r="M74" s="1115"/>
      <c r="N74" s="1111"/>
      <c r="O74" s="1111"/>
      <c r="P74" s="1111"/>
      <c r="Q74" s="1111"/>
      <c r="R74" s="1111"/>
      <c r="S74" s="1111"/>
      <c r="T74" s="1111"/>
      <c r="U74" s="1111"/>
      <c r="V74" s="1111"/>
      <c r="W74" s="1111"/>
      <c r="X74" s="1111"/>
      <c r="Y74" s="1111"/>
    </row>
    <row r="75" spans="3:25" ht="18.75" customHeight="1">
      <c r="C75" s="1111"/>
      <c r="D75" s="1520" t="s">
        <v>80</v>
      </c>
      <c r="E75" s="1522" t="s">
        <v>81</v>
      </c>
      <c r="F75" s="1143" t="s">
        <v>1527</v>
      </c>
      <c r="G75" s="1143">
        <v>20</v>
      </c>
      <c r="H75" s="1149">
        <v>21.419999999999998</v>
      </c>
      <c r="I75" s="1149">
        <v>21.419999999999998</v>
      </c>
      <c r="J75" s="1149">
        <v>19.2876222</v>
      </c>
      <c r="K75" s="1492"/>
      <c r="L75" s="1114"/>
      <c r="M75" s="1115"/>
      <c r="N75" s="1111"/>
      <c r="O75" s="1111"/>
      <c r="P75" s="1111"/>
      <c r="Q75" s="1111"/>
      <c r="R75" s="1111"/>
      <c r="S75" s="1111"/>
      <c r="T75" s="1111"/>
      <c r="U75" s="1111"/>
      <c r="V75" s="1111"/>
      <c r="W75" s="1111"/>
      <c r="X75" s="1111"/>
      <c r="Y75" s="1111"/>
    </row>
    <row r="76" spans="3:25" ht="23.25" customHeight="1">
      <c r="C76" s="1111"/>
      <c r="D76" s="1520" t="s">
        <v>82</v>
      </c>
      <c r="E76" s="1522" t="s">
        <v>83</v>
      </c>
      <c r="F76" s="1141" t="s">
        <v>1527</v>
      </c>
      <c r="G76" s="1141"/>
      <c r="H76" s="1149"/>
      <c r="I76" s="1149"/>
      <c r="J76" s="1149"/>
      <c r="K76" s="1492"/>
      <c r="L76" s="1114"/>
      <c r="M76" s="1115"/>
      <c r="N76" s="1111"/>
      <c r="O76" s="1111"/>
      <c r="P76" s="1111"/>
      <c r="Q76" s="1111"/>
      <c r="R76" s="1111"/>
      <c r="S76" s="1111"/>
      <c r="T76" s="1111"/>
      <c r="U76" s="1111"/>
      <c r="V76" s="1111"/>
      <c r="W76" s="1111"/>
      <c r="X76" s="1111"/>
      <c r="Y76" s="1111"/>
    </row>
    <row r="77" spans="3:25" ht="18.75" customHeight="1">
      <c r="C77" s="1111"/>
      <c r="D77" s="1520" t="s">
        <v>84</v>
      </c>
      <c r="E77" s="1522" t="s">
        <v>85</v>
      </c>
      <c r="F77" s="1143" t="s">
        <v>1527</v>
      </c>
      <c r="G77" s="1143">
        <v>5.16</v>
      </c>
      <c r="H77" s="1149">
        <v>5.16</v>
      </c>
      <c r="I77" s="1149">
        <v>5.16</v>
      </c>
      <c r="J77" s="1149">
        <v>47.684419999999996</v>
      </c>
      <c r="K77" s="1492"/>
      <c r="L77" s="1114"/>
      <c r="M77" s="1115"/>
      <c r="N77" s="1111"/>
      <c r="O77" s="1111"/>
      <c r="P77" s="1111"/>
      <c r="Q77" s="1111"/>
      <c r="R77" s="1111"/>
      <c r="S77" s="1111"/>
      <c r="T77" s="1111"/>
      <c r="U77" s="1111"/>
      <c r="V77" s="1111"/>
      <c r="W77" s="1111"/>
      <c r="X77" s="1111"/>
      <c r="Y77" s="1111"/>
    </row>
    <row r="78" spans="3:25" ht="23.25" customHeight="1">
      <c r="C78" s="1111"/>
      <c r="D78" s="1520" t="s">
        <v>86</v>
      </c>
      <c r="E78" s="1523" t="s">
        <v>87</v>
      </c>
      <c r="F78" s="1143" t="s">
        <v>1527</v>
      </c>
      <c r="G78" s="1143">
        <v>3.7999999999999994</v>
      </c>
      <c r="H78" s="1149">
        <v>4.029102</v>
      </c>
      <c r="I78" s="1149"/>
      <c r="J78" s="1149">
        <v>4.212184394880001</v>
      </c>
      <c r="K78" s="1492"/>
      <c r="L78" s="1114"/>
      <c r="M78" s="1115"/>
      <c r="N78" s="1111"/>
      <c r="O78" s="1111"/>
      <c r="P78" s="1111"/>
      <c r="Q78" s="1111"/>
      <c r="R78" s="1111"/>
      <c r="S78" s="1111"/>
      <c r="T78" s="1111"/>
      <c r="U78" s="1111"/>
      <c r="V78" s="1111"/>
      <c r="W78" s="1111"/>
      <c r="X78" s="1111"/>
      <c r="Y78" s="1111"/>
    </row>
    <row r="79" spans="3:25" ht="15.75">
      <c r="C79" s="1111"/>
      <c r="D79" s="1520" t="s">
        <v>88</v>
      </c>
      <c r="E79" s="1146" t="s">
        <v>89</v>
      </c>
      <c r="F79" s="1147"/>
      <c r="G79" s="1147"/>
      <c r="H79" s="1145"/>
      <c r="I79" s="1145"/>
      <c r="J79" s="1145">
        <v>167.2882</v>
      </c>
      <c r="K79" s="1491"/>
      <c r="L79" s="1114"/>
      <c r="M79" s="1115"/>
      <c r="N79" s="1111"/>
      <c r="O79" s="1111"/>
      <c r="P79" s="1111"/>
      <c r="Q79" s="1111"/>
      <c r="R79" s="1111"/>
      <c r="S79" s="1111"/>
      <c r="T79" s="1111"/>
      <c r="U79" s="1111"/>
      <c r="V79" s="1111"/>
      <c r="W79" s="1111"/>
      <c r="X79" s="1111"/>
      <c r="Y79" s="1111"/>
    </row>
    <row r="80" spans="3:25" ht="37.5" customHeight="1">
      <c r="C80" s="1111"/>
      <c r="D80" s="1515" t="s">
        <v>90</v>
      </c>
      <c r="E80" s="1138" t="s">
        <v>91</v>
      </c>
      <c r="F80" s="1143" t="s">
        <v>1527</v>
      </c>
      <c r="G80" s="1573">
        <v>0</v>
      </c>
      <c r="H80" s="1574">
        <v>0</v>
      </c>
      <c r="I80" s="1574"/>
      <c r="J80" s="1574">
        <v>0</v>
      </c>
      <c r="K80" s="1493"/>
      <c r="L80" s="1114"/>
      <c r="M80" s="1115"/>
      <c r="N80" s="1111"/>
      <c r="O80" s="1111"/>
      <c r="P80" s="1111"/>
      <c r="Q80" s="1111"/>
      <c r="R80" s="1111"/>
      <c r="S80" s="1111"/>
      <c r="T80" s="1111"/>
      <c r="U80" s="1111"/>
      <c r="V80" s="1111"/>
      <c r="W80" s="1111"/>
      <c r="X80" s="1111"/>
      <c r="Y80" s="1111"/>
    </row>
    <row r="81" spans="3:25" ht="29.25" customHeight="1">
      <c r="C81" s="1111"/>
      <c r="D81" s="1526"/>
      <c r="E81" s="1133" t="s">
        <v>92</v>
      </c>
      <c r="F81" s="1220" t="s">
        <v>1527</v>
      </c>
      <c r="G81" s="1511">
        <f>G60+G61+G62+G63+G64</f>
        <v>481.31463040430197</v>
      </c>
      <c r="H81" s="1511">
        <f>H60+H61+H62+H63+H64</f>
        <v>493.7947525119432</v>
      </c>
      <c r="I81" s="1511"/>
      <c r="J81" s="1511">
        <f>J60+J61+J62+J63+J64</f>
        <v>775.9211316194973</v>
      </c>
      <c r="K81" s="1535"/>
      <c r="L81" s="1114"/>
      <c r="M81" s="1115"/>
      <c r="N81" s="1111"/>
      <c r="O81" s="1111"/>
      <c r="P81" s="1111"/>
      <c r="Q81" s="1111"/>
      <c r="R81" s="1111"/>
      <c r="S81" s="1111"/>
      <c r="T81" s="1111"/>
      <c r="U81" s="1111"/>
      <c r="V81" s="1111"/>
      <c r="W81" s="1111"/>
      <c r="X81" s="1111"/>
      <c r="Y81" s="1111"/>
    </row>
    <row r="82" spans="3:25" ht="15">
      <c r="C82" s="1111"/>
      <c r="D82" s="1147"/>
      <c r="E82" s="1608" t="s">
        <v>701</v>
      </c>
      <c r="F82" s="1147"/>
      <c r="G82" s="1575"/>
      <c r="H82" s="1576"/>
      <c r="I82" s="1576"/>
      <c r="J82" s="1576">
        <v>-448.1283926246948</v>
      </c>
      <c r="K82" s="1564"/>
      <c r="L82" s="1114"/>
      <c r="M82" s="1115"/>
      <c r="N82" s="1111"/>
      <c r="O82" s="1111"/>
      <c r="P82" s="1111"/>
      <c r="Q82" s="1111"/>
      <c r="R82" s="1111"/>
      <c r="S82" s="1111"/>
      <c r="T82" s="1111"/>
      <c r="U82" s="1111"/>
      <c r="V82" s="1111"/>
      <c r="W82" s="1111"/>
      <c r="X82" s="1111"/>
      <c r="Y82" s="1111"/>
    </row>
    <row r="83" spans="3:25" ht="15">
      <c r="C83" s="1111"/>
      <c r="D83" s="1526"/>
      <c r="E83" s="1568" t="s">
        <v>93</v>
      </c>
      <c r="F83" s="1220" t="s">
        <v>1527</v>
      </c>
      <c r="G83" s="1220">
        <v>1501.9443980265617</v>
      </c>
      <c r="H83" s="1527">
        <v>1575.958288824149</v>
      </c>
      <c r="I83" s="1527"/>
      <c r="J83" s="1527">
        <v>1459.1297863970353</v>
      </c>
      <c r="K83" s="1565"/>
      <c r="L83" s="1114"/>
      <c r="M83" s="1115"/>
      <c r="N83" s="1111"/>
      <c r="O83" s="1111"/>
      <c r="P83" s="1111"/>
      <c r="Q83" s="1111"/>
      <c r="R83" s="1111"/>
      <c r="S83" s="1111"/>
      <c r="T83" s="1111"/>
      <c r="U83" s="1111"/>
      <c r="V83" s="1111"/>
      <c r="W83" s="1111"/>
      <c r="X83" s="1111"/>
      <c r="Y83" s="1111"/>
    </row>
    <row r="84" spans="3:25" ht="15">
      <c r="C84" s="1111"/>
      <c r="D84" s="1139"/>
      <c r="E84" s="1139"/>
      <c r="F84" s="1139"/>
      <c r="G84" s="1139"/>
      <c r="H84" s="1212">
        <v>1.0492787155735164</v>
      </c>
      <c r="I84" s="1212"/>
      <c r="J84" s="1212"/>
      <c r="K84" s="1212"/>
      <c r="L84" s="1114"/>
      <c r="M84" s="1115">
        <f>20+22+32+10*2+20+15+10+2*4+1+2*7+120+140+120+120+2*2+22+4+10+6.02*4+7.01+180+6.01*2+27.04*4+27*3+32.97*4+232.89+25.99*2+2*6+173.18+27.02</f>
        <v>1743.22</v>
      </c>
      <c r="N84" s="1111"/>
      <c r="O84" s="1111"/>
      <c r="P84" s="1111"/>
      <c r="Q84" s="1111"/>
      <c r="R84" s="1111"/>
      <c r="S84" s="1111"/>
      <c r="T84" s="1111"/>
      <c r="U84" s="1111"/>
      <c r="V84" s="1111"/>
      <c r="W84" s="1111"/>
      <c r="X84" s="1111"/>
      <c r="Y84" s="1111"/>
    </row>
    <row r="85" spans="3:25" ht="15">
      <c r="C85" s="1111"/>
      <c r="D85" s="1287"/>
      <c r="E85" s="1140"/>
      <c r="F85" s="1140"/>
      <c r="G85" s="1140"/>
      <c r="H85" s="1140">
        <v>1.0259292390450672</v>
      </c>
      <c r="I85" s="1140"/>
      <c r="J85" s="1140"/>
      <c r="K85" s="1140"/>
      <c r="L85" s="1114"/>
      <c r="M85" s="1115"/>
      <c r="N85" s="1111"/>
      <c r="O85" s="1111"/>
      <c r="P85" s="1111"/>
      <c r="Q85" s="1111"/>
      <c r="R85" s="1111"/>
      <c r="S85" s="1111"/>
      <c r="T85" s="1111"/>
      <c r="U85" s="1111"/>
      <c r="V85" s="1111"/>
      <c r="W85" s="1111"/>
      <c r="X85" s="1111"/>
      <c r="Y85" s="1111"/>
    </row>
    <row r="86" spans="3:25" ht="15">
      <c r="C86" s="1111"/>
      <c r="D86" s="1895"/>
      <c r="E86" s="1895"/>
      <c r="F86" s="1895"/>
      <c r="G86" s="1288"/>
      <c r="H86" s="1296">
        <v>1565.7942468361</v>
      </c>
      <c r="I86" s="1296"/>
      <c r="J86" s="1296"/>
      <c r="K86" s="1296"/>
      <c r="L86" s="1114"/>
      <c r="M86" s="1115"/>
      <c r="N86" s="1111"/>
      <c r="O86" s="1111"/>
      <c r="P86" s="1111"/>
      <c r="Q86" s="1111"/>
      <c r="R86" s="1111"/>
      <c r="S86" s="1111"/>
      <c r="T86" s="1111"/>
      <c r="U86" s="1111"/>
      <c r="V86" s="1111"/>
      <c r="W86" s="1111"/>
      <c r="X86" s="1111"/>
      <c r="Y86" s="1111"/>
    </row>
    <row r="87" spans="3:25" ht="15">
      <c r="C87" s="1111"/>
      <c r="D87" s="1288"/>
      <c r="E87" s="1288"/>
      <c r="F87" s="1288"/>
      <c r="G87" s="1288"/>
      <c r="H87" s="1294">
        <v>-10.164041988048893</v>
      </c>
      <c r="I87" s="1294"/>
      <c r="J87" s="1294"/>
      <c r="K87" s="1294"/>
      <c r="L87" s="1114"/>
      <c r="M87" s="1115"/>
      <c r="N87" s="1111"/>
      <c r="O87" s="1111"/>
      <c r="P87" s="1111"/>
      <c r="Q87" s="1111"/>
      <c r="R87" s="1111"/>
      <c r="S87" s="1111"/>
      <c r="T87" s="1111"/>
      <c r="U87" s="1111"/>
      <c r="V87" s="1111"/>
      <c r="W87" s="1111"/>
      <c r="X87" s="1111"/>
      <c r="Y87" s="1111"/>
    </row>
    <row r="88" spans="3:25" ht="15">
      <c r="C88" s="1111"/>
      <c r="D88" s="1285" t="s">
        <v>94</v>
      </c>
      <c r="E88" s="1289"/>
      <c r="F88" s="1290"/>
      <c r="G88" s="1290"/>
      <c r="H88" s="1150"/>
      <c r="I88" s="1150"/>
      <c r="J88" s="1150"/>
      <c r="K88" s="1150"/>
      <c r="L88" s="1114"/>
      <c r="M88" s="1115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</row>
    <row r="89" spans="3:25" ht="15">
      <c r="C89" s="1111"/>
      <c r="D89" s="1285"/>
      <c r="E89" s="1289"/>
      <c r="F89" s="1290"/>
      <c r="G89" s="1290"/>
      <c r="H89" s="1140"/>
      <c r="I89" s="1140"/>
      <c r="J89" s="1140"/>
      <c r="K89" s="1140"/>
      <c r="L89" s="1114"/>
      <c r="M89" s="1115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</row>
    <row r="90" spans="3:25" ht="15">
      <c r="C90" s="1111"/>
      <c r="D90" s="1153"/>
      <c r="E90" s="1154"/>
      <c r="F90" s="1153"/>
      <c r="G90" s="1153"/>
      <c r="H90" s="1156"/>
      <c r="I90" s="1156"/>
      <c r="J90" s="1156"/>
      <c r="K90" s="1156"/>
      <c r="L90" s="1157"/>
      <c r="M90" s="1115"/>
      <c r="N90" s="1111"/>
      <c r="O90" s="1111"/>
      <c r="P90" s="1111"/>
      <c r="Q90" s="1111"/>
      <c r="R90" s="1111"/>
      <c r="S90" s="1111"/>
      <c r="T90" s="1111"/>
      <c r="U90" s="1111"/>
      <c r="V90" s="1111"/>
      <c r="W90" s="1111"/>
      <c r="X90" s="1111"/>
      <c r="Y90" s="1111"/>
    </row>
    <row r="91" spans="3:25" ht="15.75" thickBot="1">
      <c r="C91" s="1111"/>
      <c r="D91" s="1157"/>
      <c r="E91" s="1157" t="s">
        <v>2281</v>
      </c>
      <c r="F91" s="1157"/>
      <c r="G91" s="1157"/>
      <c r="H91" s="1157"/>
      <c r="I91" s="1157"/>
      <c r="J91" s="1157"/>
      <c r="K91" s="1157"/>
      <c r="L91" s="1157"/>
      <c r="M91" s="1115"/>
      <c r="N91" s="1111"/>
      <c r="O91" s="1111"/>
      <c r="P91" s="1111"/>
      <c r="Q91" s="1111"/>
      <c r="R91" s="1111"/>
      <c r="S91" s="1111"/>
      <c r="T91" s="1111"/>
      <c r="U91" s="1111"/>
      <c r="V91" s="1111"/>
      <c r="W91" s="1111"/>
      <c r="X91" s="1111"/>
      <c r="Y91" s="1111"/>
    </row>
    <row r="92" spans="3:25" ht="15.75" thickBot="1">
      <c r="C92" s="1111"/>
      <c r="D92" s="1158"/>
      <c r="E92" s="1159" t="s">
        <v>105</v>
      </c>
      <c r="F92" s="1115"/>
      <c r="G92" s="1115"/>
      <c r="H92" s="1115"/>
      <c r="I92" s="1115"/>
      <c r="J92" s="1115"/>
      <c r="K92" s="1115"/>
      <c r="L92" s="1115"/>
      <c r="M92" s="1115"/>
      <c r="N92" s="1111"/>
      <c r="O92" s="1111"/>
      <c r="P92" s="1111"/>
      <c r="Q92" s="1111"/>
      <c r="R92" s="1111"/>
      <c r="S92" s="1111"/>
      <c r="T92" s="1111"/>
      <c r="U92" s="1111"/>
      <c r="V92" s="1111"/>
      <c r="W92" s="1111"/>
      <c r="X92" s="1111"/>
      <c r="Y92" s="1111"/>
    </row>
    <row r="93" spans="3:25" ht="15.75" thickBot="1">
      <c r="C93" s="1111"/>
      <c r="D93" s="1115"/>
      <c r="E93" s="1115"/>
      <c r="F93" s="1115"/>
      <c r="G93" s="1115"/>
      <c r="H93" s="1115"/>
      <c r="I93" s="1115"/>
      <c r="J93" s="1115"/>
      <c r="K93" s="1115"/>
      <c r="L93" s="1115"/>
      <c r="M93" s="1115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</row>
    <row r="94" spans="3:25" ht="15.75" thickBot="1">
      <c r="C94" s="1111"/>
      <c r="D94" s="1160"/>
      <c r="E94" s="1115" t="s">
        <v>106</v>
      </c>
      <c r="F94" s="1115"/>
      <c r="G94" s="1115"/>
      <c r="H94" s="1115"/>
      <c r="I94" s="1115"/>
      <c r="J94" s="1115"/>
      <c r="K94" s="1115"/>
      <c r="L94" s="1115"/>
      <c r="M94" s="1115"/>
      <c r="N94" s="1111"/>
      <c r="O94" s="1111"/>
      <c r="P94" s="1111"/>
      <c r="Q94" s="1111"/>
      <c r="R94" s="1111"/>
      <c r="S94" s="1111"/>
      <c r="T94" s="1111"/>
      <c r="U94" s="1111"/>
      <c r="V94" s="1111"/>
      <c r="W94" s="1111"/>
      <c r="X94" s="1111"/>
      <c r="Y94" s="1111"/>
    </row>
    <row r="95" spans="3:25" ht="15.75" thickBot="1">
      <c r="C95" s="1111"/>
      <c r="D95" s="1115"/>
      <c r="E95" s="1115"/>
      <c r="F95" s="1115"/>
      <c r="G95" s="1115"/>
      <c r="H95" s="1115"/>
      <c r="I95" s="1115"/>
      <c r="J95" s="1115"/>
      <c r="K95" s="1115"/>
      <c r="L95" s="1115"/>
      <c r="M95" s="1115"/>
      <c r="N95" s="1111"/>
      <c r="O95" s="1111"/>
      <c r="P95" s="1111"/>
      <c r="Q95" s="1111"/>
      <c r="R95" s="1111"/>
      <c r="S95" s="1111"/>
      <c r="T95" s="1111"/>
      <c r="U95" s="1111"/>
      <c r="V95" s="1111"/>
      <c r="W95" s="1111"/>
      <c r="X95" s="1111"/>
      <c r="Y95" s="1111"/>
    </row>
    <row r="96" spans="3:25" ht="15.75" thickBot="1">
      <c r="C96" s="1111"/>
      <c r="D96" s="1161"/>
      <c r="E96" s="1115" t="s">
        <v>107</v>
      </c>
      <c r="F96" s="1115"/>
      <c r="G96" s="1115"/>
      <c r="H96" s="1115"/>
      <c r="I96" s="1115"/>
      <c r="J96" s="1115"/>
      <c r="K96" s="1115"/>
      <c r="L96" s="1115"/>
      <c r="M96" s="1115"/>
      <c r="N96" s="1111"/>
      <c r="O96" s="1111"/>
      <c r="P96" s="1111"/>
      <c r="Q96" s="1111"/>
      <c r="R96" s="1111"/>
      <c r="S96" s="1111"/>
      <c r="T96" s="1111"/>
      <c r="U96" s="1111"/>
      <c r="V96" s="1111"/>
      <c r="W96" s="1111"/>
      <c r="X96" s="1111"/>
      <c r="Y96" s="1111"/>
    </row>
    <row r="97" spans="3:25" ht="15.75" thickBot="1">
      <c r="C97" s="1111"/>
      <c r="D97" s="1115"/>
      <c r="E97" s="1115"/>
      <c r="F97" s="1115"/>
      <c r="G97" s="1115"/>
      <c r="H97" s="1115"/>
      <c r="I97" s="1115"/>
      <c r="J97" s="1115"/>
      <c r="K97" s="1115"/>
      <c r="L97" s="1115"/>
      <c r="M97" s="1115"/>
      <c r="N97" s="1111"/>
      <c r="O97" s="1111"/>
      <c r="P97" s="1111"/>
      <c r="Q97" s="1111"/>
      <c r="R97" s="1111"/>
      <c r="S97" s="1111"/>
      <c r="T97" s="1111"/>
      <c r="U97" s="1111"/>
      <c r="V97" s="1111"/>
      <c r="W97" s="1111"/>
      <c r="X97" s="1111"/>
      <c r="Y97" s="1111"/>
    </row>
    <row r="98" spans="3:25" ht="15.75" thickBot="1">
      <c r="C98" s="1111"/>
      <c r="D98" s="1162"/>
      <c r="E98" s="1115" t="s">
        <v>108</v>
      </c>
      <c r="F98" s="1115"/>
      <c r="G98" s="1115"/>
      <c r="H98" s="1115"/>
      <c r="I98" s="1115"/>
      <c r="J98" s="1115"/>
      <c r="K98" s="1115"/>
      <c r="L98" s="1115"/>
      <c r="M98" s="1115"/>
      <c r="N98" s="1111"/>
      <c r="O98" s="1111"/>
      <c r="P98" s="1111"/>
      <c r="Q98" s="1111"/>
      <c r="R98" s="1111"/>
      <c r="S98" s="1111"/>
      <c r="T98" s="1111"/>
      <c r="U98" s="1111"/>
      <c r="V98" s="1111"/>
      <c r="W98" s="1111"/>
      <c r="X98" s="1111"/>
      <c r="Y98" s="1111"/>
    </row>
    <row r="99" spans="3:25" ht="15.75" thickBot="1">
      <c r="C99" s="1111"/>
      <c r="D99" s="1115"/>
      <c r="E99" s="1115"/>
      <c r="F99" s="1115"/>
      <c r="G99" s="1115"/>
      <c r="H99" s="1115"/>
      <c r="I99" s="1115"/>
      <c r="J99" s="1115"/>
      <c r="K99" s="1115"/>
      <c r="L99" s="1115"/>
      <c r="M99" s="1115"/>
      <c r="N99" s="1111"/>
      <c r="O99" s="1111"/>
      <c r="P99" s="1111"/>
      <c r="Q99" s="1111"/>
      <c r="R99" s="1111"/>
      <c r="S99" s="1111"/>
      <c r="T99" s="1111"/>
      <c r="U99" s="1111"/>
      <c r="V99" s="1111"/>
      <c r="W99" s="1111"/>
      <c r="X99" s="1111"/>
      <c r="Y99" s="1111"/>
    </row>
    <row r="100" spans="3:25" ht="15.75" thickBot="1">
      <c r="C100" s="1111"/>
      <c r="D100" s="1163" t="s">
        <v>5</v>
      </c>
      <c r="E100" s="1111" t="s">
        <v>109</v>
      </c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</row>
    <row r="101" spans="3:25" ht="15">
      <c r="C101" s="1111"/>
      <c r="D101" s="1111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  <c r="U101" s="1111"/>
      <c r="V101" s="1111"/>
      <c r="W101" s="1111"/>
      <c r="X101" s="1111"/>
      <c r="Y101" s="1111"/>
    </row>
    <row r="102" ht="12.75">
      <c r="E102" t="s">
        <v>110</v>
      </c>
    </row>
    <row r="103" ht="15.75" thickBot="1">
      <c r="E103" s="1164" t="s">
        <v>111</v>
      </c>
    </row>
    <row r="104" spans="5:7" ht="15.75">
      <c r="E104" s="1165" t="s">
        <v>112</v>
      </c>
      <c r="F104" s="1166">
        <v>0</v>
      </c>
      <c r="G104" s="1553"/>
    </row>
    <row r="105" spans="5:7" ht="15.75">
      <c r="E105" s="1167" t="s">
        <v>113</v>
      </c>
      <c r="F105" s="1168">
        <v>1.0102</v>
      </c>
      <c r="G105" s="1554"/>
    </row>
    <row r="106" spans="5:7" ht="16.5" thickBot="1">
      <c r="E106" s="1169" t="s">
        <v>114</v>
      </c>
      <c r="F106" s="1170">
        <f>0.65*F104+0.35*F105</f>
        <v>0.35357</v>
      </c>
      <c r="G106" s="1553"/>
    </row>
    <row r="107" spans="5:7" ht="15.75" thickBot="1">
      <c r="E107" s="1111"/>
      <c r="F107" s="1111" t="s">
        <v>526</v>
      </c>
      <c r="G107" s="1111"/>
    </row>
    <row r="108" spans="5:7" ht="16.5">
      <c r="E108" s="1268" t="s">
        <v>112</v>
      </c>
      <c r="F108" s="1269">
        <f>F104*(1-0.015)</f>
        <v>0</v>
      </c>
      <c r="G108" s="1555"/>
    </row>
    <row r="109" spans="5:7" ht="16.5">
      <c r="E109" s="1270" t="s">
        <v>113</v>
      </c>
      <c r="F109" s="1269">
        <f>F105</f>
        <v>1.0102</v>
      </c>
      <c r="G109" s="1555"/>
    </row>
    <row r="110" spans="5:7" ht="17.25" thickBot="1">
      <c r="E110" s="1271" t="s">
        <v>114</v>
      </c>
      <c r="F110" s="1269">
        <f>0.65*F108+0.35*F109</f>
        <v>0.35357</v>
      </c>
      <c r="G110" s="1555"/>
    </row>
    <row r="111" spans="5:7" ht="15.75" thickBot="1">
      <c r="E111" s="1111"/>
      <c r="F111" s="1111" t="s">
        <v>527</v>
      </c>
      <c r="G111" s="1111"/>
    </row>
    <row r="112" spans="5:7" ht="15.75">
      <c r="E112" s="1272" t="s">
        <v>112</v>
      </c>
      <c r="F112" s="1273">
        <f>F108*(1-0.015)</f>
        <v>0</v>
      </c>
      <c r="G112" s="1556"/>
    </row>
    <row r="113" spans="5:7" ht="15.75">
      <c r="E113" s="1274" t="s">
        <v>113</v>
      </c>
      <c r="F113" s="1273">
        <f>F109</f>
        <v>1.0102</v>
      </c>
      <c r="G113" s="1556"/>
    </row>
    <row r="114" spans="5:7" ht="16.5" thickBot="1">
      <c r="E114" s="1275" t="s">
        <v>114</v>
      </c>
      <c r="F114" s="1273">
        <f>0.65*F112+0.35*F113</f>
        <v>0.35357</v>
      </c>
      <c r="G114" s="1556"/>
    </row>
  </sheetData>
  <sheetProtection/>
  <protectedRanges>
    <protectedRange sqref="H8:K8" name="Диапазон1_1_1"/>
  </protectedRanges>
  <mergeCells count="5">
    <mergeCell ref="L63:N63"/>
    <mergeCell ref="D86:F86"/>
    <mergeCell ref="E4:H4"/>
    <mergeCell ref="D5:H5"/>
    <mergeCell ref="L33:Y33"/>
  </mergeCells>
  <dataValidations count="1">
    <dataValidation type="decimal" allowBlank="1" showInputMessage="1" showErrorMessage="1" error="Ввведеное значение неверно" sqref="H18:K19 H8:K9 H90:K90">
      <formula1>-1000000000000000</formula1>
      <formula2>1000000000000000</formula2>
    </dataValidation>
  </dataValidations>
  <printOptions/>
  <pageMargins left="0.7480314960629921" right="0.2362204724409449" top="0.4724409448818898" bottom="0.4724409448818898" header="0.15748031496062992" footer="0.7480314960629921"/>
  <pageSetup fitToHeight="1" fitToWidth="1" horizontalDpi="600" verticalDpi="600" orientation="portrait" paperSize="9" scale="3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107"/>
  <sheetViews>
    <sheetView tabSelected="1" view="pageBreakPreview" zoomScale="60" zoomScaleNormal="90" zoomScalePageLayoutView="0" workbookViewId="0" topLeftCell="D1">
      <selection activeCell="T16" sqref="T16"/>
    </sheetView>
  </sheetViews>
  <sheetFormatPr defaultColWidth="9.00390625" defaultRowHeight="12.75"/>
  <cols>
    <col min="1" max="1" width="3.625" style="0" customWidth="1"/>
    <col min="2" max="2" width="8.875" style="0" customWidth="1"/>
    <col min="3" max="3" width="0.12890625" style="0" customWidth="1"/>
    <col min="5" max="5" width="55.75390625" style="0" customWidth="1"/>
    <col min="6" max="6" width="12.25390625" style="0" customWidth="1"/>
    <col min="7" max="7" width="14.625" style="0" customWidth="1"/>
    <col min="8" max="8" width="14.75390625" style="0" customWidth="1"/>
    <col min="9" max="9" width="14.875" style="0" customWidth="1"/>
    <col min="10" max="13" width="14.75390625" style="0" customWidth="1"/>
    <col min="14" max="14" width="14.75390625" style="1712" customWidth="1"/>
    <col min="15" max="15" width="9.125" style="1712" customWidth="1"/>
    <col min="16" max="16" width="12.625" style="1712" bestFit="1" customWidth="1"/>
    <col min="17" max="17" width="10.875" style="1712" bestFit="1" customWidth="1"/>
    <col min="18" max="28" width="9.125" style="1712" customWidth="1"/>
  </cols>
  <sheetData>
    <row r="1" ht="12.75"/>
    <row r="2" spans="3:28" ht="15">
      <c r="C2" s="1111"/>
      <c r="D2" s="1112"/>
      <c r="E2" s="1113" t="s">
        <v>2477</v>
      </c>
      <c r="F2" s="1113"/>
      <c r="G2" s="1113"/>
      <c r="H2" s="1113"/>
      <c r="I2" s="1113"/>
      <c r="J2" s="1113"/>
      <c r="K2" s="1113"/>
      <c r="L2" s="1113"/>
      <c r="M2" s="1113"/>
      <c r="N2" s="1683"/>
      <c r="O2" s="1684"/>
      <c r="P2" s="1685"/>
      <c r="Q2" s="1686"/>
      <c r="R2" s="1687"/>
      <c r="S2" s="1687"/>
      <c r="T2" s="1687"/>
      <c r="U2" s="1687"/>
      <c r="V2" s="1687"/>
      <c r="W2" s="1687"/>
      <c r="X2" s="1687"/>
      <c r="Y2" s="1687"/>
      <c r="Z2" s="1687"/>
      <c r="AA2" s="1687"/>
      <c r="AB2" s="1687"/>
    </row>
    <row r="3" spans="3:28" ht="15">
      <c r="C3" s="1111"/>
      <c r="D3" s="1117"/>
      <c r="E3" s="1117"/>
      <c r="F3" s="1117"/>
      <c r="G3" s="1117"/>
      <c r="H3" s="1117"/>
      <c r="I3" s="1118"/>
      <c r="J3" s="1117"/>
      <c r="K3" s="1117"/>
      <c r="L3" s="1117"/>
      <c r="M3" s="1117"/>
      <c r="N3" s="1688"/>
      <c r="O3" s="1684"/>
      <c r="P3" s="1685"/>
      <c r="Q3" s="1687"/>
      <c r="R3" s="1687"/>
      <c r="S3" s="1687"/>
      <c r="T3" s="1687"/>
      <c r="U3" s="1687"/>
      <c r="V3" s="1687"/>
      <c r="W3" s="1687"/>
      <c r="X3" s="1687"/>
      <c r="Y3" s="1687"/>
      <c r="Z3" s="1687"/>
      <c r="AA3" s="1687"/>
      <c r="AB3" s="1687"/>
    </row>
    <row r="4" spans="3:28" ht="15">
      <c r="C4" s="1111"/>
      <c r="D4" s="1113"/>
      <c r="E4" s="1896" t="s">
        <v>637</v>
      </c>
      <c r="F4" s="1897"/>
      <c r="G4" s="1897"/>
      <c r="H4" s="1897"/>
      <c r="I4" s="1897"/>
      <c r="J4" s="1897"/>
      <c r="K4" s="1897"/>
      <c r="L4" s="1119"/>
      <c r="M4" s="1119"/>
      <c r="N4" s="1689"/>
      <c r="O4" s="1684"/>
      <c r="P4" s="1685"/>
      <c r="Q4" s="1687"/>
      <c r="R4" s="1687"/>
      <c r="S4" s="1687"/>
      <c r="T4" s="1687"/>
      <c r="U4" s="1687"/>
      <c r="V4" s="1687"/>
      <c r="W4" s="1687"/>
      <c r="X4" s="1687"/>
      <c r="Y4" s="1687"/>
      <c r="Z4" s="1687"/>
      <c r="AA4" s="1687"/>
      <c r="AB4" s="1687"/>
    </row>
    <row r="5" spans="3:28" ht="15">
      <c r="C5" s="1111"/>
      <c r="D5" s="1898" t="s">
        <v>0</v>
      </c>
      <c r="E5" s="1898"/>
      <c r="F5" s="1898"/>
      <c r="G5" s="1898"/>
      <c r="H5" s="1898"/>
      <c r="I5" s="1898"/>
      <c r="J5" s="1898"/>
      <c r="K5" s="1898"/>
      <c r="L5" s="1478"/>
      <c r="M5" s="1478"/>
      <c r="N5" s="1690"/>
      <c r="O5" s="1684"/>
      <c r="P5" s="1685"/>
      <c r="Q5" s="1687"/>
      <c r="R5" s="1687"/>
      <c r="S5" s="1687"/>
      <c r="T5" s="1687"/>
      <c r="U5" s="1687"/>
      <c r="V5" s="1687"/>
      <c r="W5" s="1687"/>
      <c r="X5" s="1687"/>
      <c r="Y5" s="1687"/>
      <c r="Z5" s="1687"/>
      <c r="AA5" s="1687"/>
      <c r="AB5" s="1687"/>
    </row>
    <row r="6" spans="3:28" s="15" customFormat="1" ht="15">
      <c r="C6" s="1115"/>
      <c r="D6" s="1579"/>
      <c r="E6" s="1579"/>
      <c r="F6" s="1579"/>
      <c r="G6" s="1579"/>
      <c r="H6" s="1579"/>
      <c r="I6" s="1579"/>
      <c r="J6" s="1579"/>
      <c r="K6" s="1140"/>
      <c r="L6" s="1140"/>
      <c r="M6" s="1140"/>
      <c r="N6" s="1691"/>
      <c r="O6" s="1692"/>
      <c r="P6" s="1685"/>
      <c r="Q6" s="1685"/>
      <c r="R6" s="1685"/>
      <c r="S6" s="1685"/>
      <c r="T6" s="1685"/>
      <c r="U6" s="1685"/>
      <c r="V6" s="1685"/>
      <c r="W6" s="1685"/>
      <c r="X6" s="1685"/>
      <c r="Y6" s="1685"/>
      <c r="Z6" s="1685"/>
      <c r="AA6" s="1685"/>
      <c r="AB6" s="1685"/>
    </row>
    <row r="7" spans="3:28" ht="28.5">
      <c r="C7" s="1111"/>
      <c r="D7" s="1536" t="s">
        <v>1</v>
      </c>
      <c r="E7" s="1206" t="s">
        <v>2</v>
      </c>
      <c r="F7" s="1502" t="s">
        <v>3</v>
      </c>
      <c r="G7" s="1494" t="s">
        <v>634</v>
      </c>
      <c r="H7" s="1494" t="s">
        <v>664</v>
      </c>
      <c r="I7" s="1494" t="s">
        <v>635</v>
      </c>
      <c r="J7" s="1494">
        <v>2016</v>
      </c>
      <c r="K7" s="1494">
        <v>2017</v>
      </c>
      <c r="L7" s="1494">
        <v>2018</v>
      </c>
      <c r="M7" s="1494">
        <v>2019</v>
      </c>
      <c r="N7" s="1693"/>
      <c r="O7" s="1684"/>
      <c r="P7" s="1685"/>
      <c r="Q7" s="1687"/>
      <c r="R7" s="1687"/>
      <c r="S7" s="1687"/>
      <c r="T7" s="1687"/>
      <c r="U7" s="1687"/>
      <c r="V7" s="1687"/>
      <c r="W7" s="1687"/>
      <c r="X7" s="1687"/>
      <c r="Y7" s="1687"/>
      <c r="Z7" s="1687"/>
      <c r="AA7" s="1687"/>
      <c r="AB7" s="1687"/>
    </row>
    <row r="8" spans="3:28" ht="26.25" customHeight="1">
      <c r="C8" s="1111"/>
      <c r="D8" s="1502" t="s">
        <v>292</v>
      </c>
      <c r="E8" s="1201" t="s">
        <v>4</v>
      </c>
      <c r="F8" s="1204" t="s">
        <v>237</v>
      </c>
      <c r="G8" s="1495" t="s">
        <v>5</v>
      </c>
      <c r="H8" s="1495"/>
      <c r="I8" s="1495">
        <v>1683.5099944914928</v>
      </c>
      <c r="J8" s="1495" t="s">
        <v>5</v>
      </c>
      <c r="K8" s="1495" t="s">
        <v>5</v>
      </c>
      <c r="L8" s="1495" t="s">
        <v>5</v>
      </c>
      <c r="M8" s="1495" t="s">
        <v>5</v>
      </c>
      <c r="N8" s="1694"/>
      <c r="O8" s="1684"/>
      <c r="P8" s="1685"/>
      <c r="Q8" s="1687"/>
      <c r="R8" s="1687"/>
      <c r="S8" s="1687"/>
      <c r="T8" s="1687"/>
      <c r="U8" s="1687"/>
      <c r="V8" s="1687"/>
      <c r="W8" s="1687"/>
      <c r="X8" s="1687"/>
      <c r="Y8" s="1687"/>
      <c r="Z8" s="1687"/>
      <c r="AA8" s="1687"/>
      <c r="AB8" s="1687"/>
    </row>
    <row r="9" spans="3:28" ht="31.5" customHeight="1">
      <c r="C9" s="1111"/>
      <c r="D9" s="1502" t="s">
        <v>293</v>
      </c>
      <c r="E9" s="1201" t="s">
        <v>6</v>
      </c>
      <c r="F9" s="1204" t="s">
        <v>1521</v>
      </c>
      <c r="G9" s="1507">
        <v>0.01</v>
      </c>
      <c r="H9" s="1203"/>
      <c r="I9" s="1202">
        <v>0.01</v>
      </c>
      <c r="J9" s="1202">
        <v>0.01</v>
      </c>
      <c r="K9" s="1202">
        <v>0.01</v>
      </c>
      <c r="L9" s="1202">
        <v>0.01</v>
      </c>
      <c r="M9" s="1202">
        <v>0.01</v>
      </c>
      <c r="N9" s="1695"/>
      <c r="O9" s="1684"/>
      <c r="P9" s="1685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</row>
    <row r="10" spans="3:28" ht="30" customHeight="1">
      <c r="C10" s="1111"/>
      <c r="D10" s="1502" t="s">
        <v>1354</v>
      </c>
      <c r="E10" s="1503" t="s">
        <v>7</v>
      </c>
      <c r="F10" s="1204"/>
      <c r="G10" s="1203">
        <v>0.75</v>
      </c>
      <c r="H10" s="1203"/>
      <c r="I10" s="1205">
        <v>0.75</v>
      </c>
      <c r="J10" s="1205">
        <v>0.75</v>
      </c>
      <c r="K10" s="1205">
        <v>0.75</v>
      </c>
      <c r="L10" s="1205">
        <v>0.75</v>
      </c>
      <c r="M10" s="1205">
        <v>0.75</v>
      </c>
      <c r="N10" s="1696"/>
      <c r="O10" s="1684"/>
      <c r="P10" s="1685"/>
      <c r="Q10" s="1687"/>
      <c r="R10" s="1687"/>
      <c r="S10" s="1687"/>
      <c r="T10" s="1687"/>
      <c r="U10" s="1687"/>
      <c r="V10" s="1687"/>
      <c r="W10" s="1687"/>
      <c r="X10" s="1687"/>
      <c r="Y10" s="1687"/>
      <c r="Z10" s="1687"/>
      <c r="AA10" s="1687"/>
      <c r="AB10" s="1687"/>
    </row>
    <row r="11" spans="3:28" ht="54.75" customHeight="1">
      <c r="C11" s="1111"/>
      <c r="D11" s="1502" t="s">
        <v>1355</v>
      </c>
      <c r="E11" s="1201" t="s">
        <v>8</v>
      </c>
      <c r="F11" s="1204"/>
      <c r="G11" s="1129"/>
      <c r="H11" s="1203"/>
      <c r="I11" s="1121"/>
      <c r="J11" s="1121"/>
      <c r="K11" s="1496"/>
      <c r="L11" s="1496"/>
      <c r="M11" s="1496"/>
      <c r="N11" s="1697"/>
      <c r="O11" s="1684"/>
      <c r="P11" s="1685"/>
      <c r="Q11" s="1687"/>
      <c r="R11" s="1687"/>
      <c r="S11" s="1687"/>
      <c r="T11" s="1687"/>
      <c r="U11" s="1687"/>
      <c r="V11" s="1687"/>
      <c r="W11" s="1687"/>
      <c r="X11" s="1687"/>
      <c r="Y11" s="1687"/>
      <c r="Z11" s="1687"/>
      <c r="AA11" s="1687"/>
      <c r="AB11" s="1687"/>
    </row>
    <row r="12" spans="3:28" ht="15">
      <c r="C12" s="1111"/>
      <c r="D12" s="1502"/>
      <c r="E12" s="1206" t="s">
        <v>9</v>
      </c>
      <c r="F12" s="1504" t="s">
        <v>1521</v>
      </c>
      <c r="G12" s="1203">
        <v>0.02</v>
      </c>
      <c r="H12" s="1203"/>
      <c r="I12" s="1207">
        <v>0.02</v>
      </c>
      <c r="J12" s="1207">
        <v>0.02</v>
      </c>
      <c r="K12" s="1207">
        <v>0.02</v>
      </c>
      <c r="L12" s="1207">
        <v>0.02</v>
      </c>
      <c r="M12" s="1207">
        <v>0.02</v>
      </c>
      <c r="N12" s="1698"/>
      <c r="O12" s="1684" t="s">
        <v>10</v>
      </c>
      <c r="P12" s="1685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</row>
    <row r="13" spans="3:28" ht="15">
      <c r="C13" s="1111"/>
      <c r="D13" s="1502"/>
      <c r="E13" s="1206" t="s">
        <v>11</v>
      </c>
      <c r="F13" s="1504" t="s">
        <v>1521</v>
      </c>
      <c r="G13" s="1203">
        <v>-0.03</v>
      </c>
      <c r="H13" s="1203"/>
      <c r="I13" s="1207">
        <v>-0.03</v>
      </c>
      <c r="J13" s="1207">
        <v>-0.03</v>
      </c>
      <c r="K13" s="1207">
        <v>-0.03</v>
      </c>
      <c r="L13" s="1207">
        <v>-0.03</v>
      </c>
      <c r="M13" s="1207">
        <v>-0.03</v>
      </c>
      <c r="N13" s="1698"/>
      <c r="O13" s="1684"/>
      <c r="P13" s="1685"/>
      <c r="Q13" s="1687"/>
      <c r="R13" s="1687"/>
      <c r="S13" s="1687"/>
      <c r="T13" s="1687"/>
      <c r="U13" s="1687"/>
      <c r="V13" s="1687"/>
      <c r="W13" s="1687"/>
      <c r="X13" s="1687"/>
      <c r="Y13" s="1687"/>
      <c r="Z13" s="1687"/>
      <c r="AA13" s="1687"/>
      <c r="AB13" s="1687"/>
    </row>
    <row r="14" spans="3:28" ht="15">
      <c r="C14" s="1111"/>
      <c r="D14" s="1502">
        <v>5</v>
      </c>
      <c r="E14" s="1538" t="s">
        <v>638</v>
      </c>
      <c r="F14" s="1504"/>
      <c r="G14" s="1203"/>
      <c r="H14" s="1279">
        <v>0</v>
      </c>
      <c r="I14" s="1500">
        <v>0</v>
      </c>
      <c r="J14" s="1674">
        <v>0</v>
      </c>
      <c r="K14" s="1674">
        <v>0</v>
      </c>
      <c r="L14" s="1674">
        <v>0</v>
      </c>
      <c r="M14" s="1674">
        <v>0</v>
      </c>
      <c r="N14" s="1698"/>
      <c r="O14" s="1684"/>
      <c r="P14" s="1685"/>
      <c r="Q14" s="1687"/>
      <c r="R14" s="1687"/>
      <c r="S14" s="1687"/>
      <c r="T14" s="1687"/>
      <c r="U14" s="1687"/>
      <c r="V14" s="1687"/>
      <c r="W14" s="1687"/>
      <c r="X14" s="1687"/>
      <c r="Y14" s="1687"/>
      <c r="Z14" s="1687"/>
      <c r="AA14" s="1687"/>
      <c r="AB14" s="1687"/>
    </row>
    <row r="15" spans="3:28" ht="28.5">
      <c r="C15" s="1111"/>
      <c r="D15" s="1502">
        <v>6</v>
      </c>
      <c r="E15" s="1538" t="s">
        <v>639</v>
      </c>
      <c r="F15" s="1504"/>
      <c r="G15" s="1203"/>
      <c r="H15" s="1279">
        <v>0</v>
      </c>
      <c r="I15" s="1500">
        <v>0</v>
      </c>
      <c r="J15" s="1674">
        <v>0</v>
      </c>
      <c r="K15" s="1674">
        <v>0</v>
      </c>
      <c r="L15" s="1674">
        <v>0</v>
      </c>
      <c r="M15" s="1674">
        <v>0</v>
      </c>
      <c r="N15" s="1698"/>
      <c r="O15" s="1684"/>
      <c r="P15" s="1685"/>
      <c r="Q15" s="1687"/>
      <c r="R15" s="1687"/>
      <c r="S15" s="1687"/>
      <c r="T15" s="1687"/>
      <c r="U15" s="1687"/>
      <c r="V15" s="1687"/>
      <c r="W15" s="1687"/>
      <c r="X15" s="1687"/>
      <c r="Y15" s="1687"/>
      <c r="Z15" s="1687"/>
      <c r="AA15" s="1687"/>
      <c r="AB15" s="1687"/>
    </row>
    <row r="16" spans="3:28" ht="28.5">
      <c r="C16" s="1111"/>
      <c r="D16" s="1502">
        <v>7</v>
      </c>
      <c r="E16" s="1538" t="s">
        <v>640</v>
      </c>
      <c r="F16" s="1504"/>
      <c r="G16" s="1203"/>
      <c r="H16" s="1279">
        <v>0.91</v>
      </c>
      <c r="I16" s="1500">
        <v>0.91</v>
      </c>
      <c r="J16" s="1500">
        <v>0.91</v>
      </c>
      <c r="K16" s="1500">
        <v>0.91</v>
      </c>
      <c r="L16" s="1674">
        <v>0.86966117875</v>
      </c>
      <c r="M16" s="1674">
        <v>0.85661626106875</v>
      </c>
      <c r="N16" s="1698"/>
      <c r="O16" s="1684"/>
      <c r="P16" s="1685"/>
      <c r="Q16" s="1687"/>
      <c r="R16" s="1687"/>
      <c r="S16" s="1687"/>
      <c r="T16" s="1687"/>
      <c r="U16" s="1687"/>
      <c r="V16" s="1687"/>
      <c r="W16" s="1687"/>
      <c r="X16" s="1687"/>
      <c r="Y16" s="1687"/>
      <c r="Z16" s="1687"/>
      <c r="AA16" s="1687"/>
      <c r="AB16" s="1687"/>
    </row>
    <row r="17" spans="3:28" ht="15">
      <c r="C17" s="1111"/>
      <c r="D17" s="1282"/>
      <c r="E17" s="1282"/>
      <c r="F17" s="1282"/>
      <c r="G17" s="1282"/>
      <c r="H17" s="1282"/>
      <c r="I17" s="1282"/>
      <c r="J17" s="1282"/>
      <c r="K17" s="1120"/>
      <c r="L17" s="1120"/>
      <c r="M17" s="1120"/>
      <c r="N17" s="1699"/>
      <c r="O17" s="1684"/>
      <c r="P17" s="1685"/>
      <c r="Q17" s="1687"/>
      <c r="R17" s="1687"/>
      <c r="S17" s="1687"/>
      <c r="T17" s="1687"/>
      <c r="U17" s="1687"/>
      <c r="V17" s="1687"/>
      <c r="W17" s="1687"/>
      <c r="X17" s="1687"/>
      <c r="Y17" s="1687"/>
      <c r="Z17" s="1687"/>
      <c r="AA17" s="1687"/>
      <c r="AB17" s="1687"/>
    </row>
    <row r="18" spans="3:28" ht="15">
      <c r="C18" s="1111"/>
      <c r="D18" s="1904" t="s">
        <v>12</v>
      </c>
      <c r="E18" s="1904"/>
      <c r="F18" s="1904"/>
      <c r="G18" s="1904"/>
      <c r="H18" s="1904"/>
      <c r="I18" s="1904"/>
      <c r="J18" s="1904"/>
      <c r="K18" s="1904"/>
      <c r="L18" s="1479"/>
      <c r="M18" s="1479"/>
      <c r="N18" s="1700"/>
      <c r="O18" s="1684"/>
      <c r="P18" s="1685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</row>
    <row r="19" spans="3:28" ht="15">
      <c r="C19" s="1111"/>
      <c r="D19" s="1282"/>
      <c r="E19" s="1282"/>
      <c r="F19" s="1282"/>
      <c r="G19" s="1282"/>
      <c r="H19" s="1282"/>
      <c r="I19" s="1282"/>
      <c r="J19" s="1282"/>
      <c r="K19" s="1120"/>
      <c r="L19" s="1120"/>
      <c r="M19" s="1120"/>
      <c r="N19" s="1699"/>
      <c r="O19" s="1684"/>
      <c r="P19" s="1685"/>
      <c r="Q19" s="1687"/>
      <c r="R19" s="1687"/>
      <c r="S19" s="1687"/>
      <c r="T19" s="1687"/>
      <c r="U19" s="1687"/>
      <c r="V19" s="1687"/>
      <c r="W19" s="1687"/>
      <c r="X19" s="1687"/>
      <c r="Y19" s="1687"/>
      <c r="Z19" s="1687"/>
      <c r="AA19" s="1687"/>
      <c r="AB19" s="1687"/>
    </row>
    <row r="20" spans="3:28" ht="41.25" customHeight="1">
      <c r="C20" s="1111"/>
      <c r="D20" s="1536" t="s">
        <v>1</v>
      </c>
      <c r="E20" s="1206" t="s">
        <v>2</v>
      </c>
      <c r="F20" s="1206" t="s">
        <v>3</v>
      </c>
      <c r="G20" s="1494" t="s">
        <v>634</v>
      </c>
      <c r="H20" s="1494" t="s">
        <v>664</v>
      </c>
      <c r="I20" s="1494" t="s">
        <v>635</v>
      </c>
      <c r="J20" s="1494">
        <v>2016</v>
      </c>
      <c r="K20" s="1494">
        <v>2017</v>
      </c>
      <c r="L20" s="1494">
        <v>2018</v>
      </c>
      <c r="M20" s="1494">
        <v>2019</v>
      </c>
      <c r="N20" s="1693"/>
      <c r="O20" s="1684"/>
      <c r="P20" s="1685"/>
      <c r="Q20" s="1687"/>
      <c r="R20" s="1687"/>
      <c r="S20" s="1687"/>
      <c r="T20" s="1687"/>
      <c r="U20" s="1687"/>
      <c r="V20" s="1687"/>
      <c r="W20" s="1687"/>
      <c r="X20" s="1687"/>
      <c r="Y20" s="1687"/>
      <c r="Z20" s="1687"/>
      <c r="AA20" s="1687"/>
      <c r="AB20" s="1687"/>
    </row>
    <row r="21" spans="3:28" ht="24" customHeight="1">
      <c r="C21" s="1111"/>
      <c r="D21" s="1502">
        <v>1</v>
      </c>
      <c r="E21" s="1201" t="s">
        <v>13</v>
      </c>
      <c r="F21" s="1204" t="s">
        <v>1521</v>
      </c>
      <c r="G21" s="1480">
        <v>0.056</v>
      </c>
      <c r="H21" s="1480"/>
      <c r="I21" s="1497">
        <v>0.067</v>
      </c>
      <c r="J21" s="1497">
        <v>0.044</v>
      </c>
      <c r="K21" s="1497">
        <v>0.043</v>
      </c>
      <c r="L21" s="1497">
        <v>0.043</v>
      </c>
      <c r="M21" s="1497">
        <v>0.043</v>
      </c>
      <c r="N21" s="1701"/>
      <c r="O21" s="1684"/>
      <c r="P21" s="1685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</row>
    <row r="22" spans="3:28" ht="25.5" customHeight="1" hidden="1">
      <c r="C22" s="1111"/>
      <c r="D22" s="1502">
        <v>2</v>
      </c>
      <c r="E22" s="1503" t="s">
        <v>17</v>
      </c>
      <c r="F22" s="1204" t="s">
        <v>237</v>
      </c>
      <c r="G22" s="1208">
        <v>775.9211316194973</v>
      </c>
      <c r="H22" s="1208">
        <v>949.54</v>
      </c>
      <c r="I22" s="1208"/>
      <c r="J22" s="1208"/>
      <c r="K22" s="1208"/>
      <c r="L22" s="1208"/>
      <c r="M22" s="1208"/>
      <c r="N22" s="1702"/>
      <c r="O22" s="1684"/>
      <c r="P22" s="1685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</row>
    <row r="23" spans="3:28" ht="30" customHeight="1" hidden="1">
      <c r="C23" s="1111"/>
      <c r="D23" s="1502">
        <v>3</v>
      </c>
      <c r="E23" s="1580" t="s">
        <v>665</v>
      </c>
      <c r="F23" s="1204" t="s">
        <v>19</v>
      </c>
      <c r="G23" s="1122"/>
      <c r="H23" s="1123"/>
      <c r="I23" s="1123"/>
      <c r="J23" s="1498"/>
      <c r="K23" s="1499"/>
      <c r="L23" s="1499"/>
      <c r="M23" s="1499"/>
      <c r="N23" s="1703"/>
      <c r="O23" s="1684" t="s">
        <v>16</v>
      </c>
      <c r="P23" s="1685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</row>
    <row r="24" spans="3:28" ht="36" customHeight="1" hidden="1">
      <c r="C24" s="1111"/>
      <c r="D24" s="1502">
        <v>4</v>
      </c>
      <c r="E24" s="1201" t="s">
        <v>20</v>
      </c>
      <c r="F24" s="1204" t="s">
        <v>19</v>
      </c>
      <c r="G24" s="1124">
        <v>1.5377948425000003</v>
      </c>
      <c r="H24" s="1125"/>
      <c r="I24" s="1125"/>
      <c r="J24" s="1500"/>
      <c r="K24" s="1501"/>
      <c r="L24" s="1501"/>
      <c r="M24" s="1501"/>
      <c r="N24" s="1703"/>
      <c r="O24" s="1684"/>
      <c r="P24" s="1685"/>
      <c r="Q24" s="1687"/>
      <c r="R24" s="1687"/>
      <c r="S24" s="1687"/>
      <c r="T24" s="1687"/>
      <c r="U24" s="1687"/>
      <c r="V24" s="1687"/>
      <c r="W24" s="1687"/>
      <c r="X24" s="1687"/>
      <c r="Y24" s="1687"/>
      <c r="Z24" s="1687"/>
      <c r="AA24" s="1687"/>
      <c r="AB24" s="1687"/>
    </row>
    <row r="25" spans="3:28" ht="20.25" customHeight="1" hidden="1">
      <c r="C25" s="1111"/>
      <c r="D25" s="1502">
        <v>5</v>
      </c>
      <c r="E25" s="1217" t="s">
        <v>21</v>
      </c>
      <c r="F25" s="1504" t="s">
        <v>157</v>
      </c>
      <c r="G25" s="1124">
        <v>7</v>
      </c>
      <c r="H25" s="1125"/>
      <c r="I25" s="1125"/>
      <c r="J25" s="1500"/>
      <c r="K25" s="1501"/>
      <c r="L25" s="1501"/>
      <c r="M25" s="1501"/>
      <c r="N25" s="1703"/>
      <c r="O25" s="1684"/>
      <c r="P25" s="1685"/>
      <c r="Q25" s="1687"/>
      <c r="R25" s="1687"/>
      <c r="S25" s="1687"/>
      <c r="T25" s="1687"/>
      <c r="U25" s="1687"/>
      <c r="V25" s="1687"/>
      <c r="W25" s="1687"/>
      <c r="X25" s="1687"/>
      <c r="Y25" s="1687"/>
      <c r="Z25" s="1687"/>
      <c r="AA25" s="1687"/>
      <c r="AB25" s="1687"/>
    </row>
    <row r="26" spans="3:28" ht="21" customHeight="1" hidden="1">
      <c r="C26" s="1111"/>
      <c r="D26" s="1502">
        <v>6</v>
      </c>
      <c r="E26" s="1217" t="s">
        <v>24</v>
      </c>
      <c r="F26" s="1504" t="s">
        <v>25</v>
      </c>
      <c r="G26" s="1124">
        <v>2089.1875294080005</v>
      </c>
      <c r="H26" s="1124"/>
      <c r="I26" s="1125"/>
      <c r="J26" s="1125"/>
      <c r="K26" s="1125"/>
      <c r="L26" s="1125"/>
      <c r="M26" s="1125"/>
      <c r="N26" s="1704"/>
      <c r="O26" s="1684"/>
      <c r="P26" s="1685"/>
      <c r="Q26" s="1687"/>
      <c r="R26" s="1687"/>
      <c r="S26" s="1687"/>
      <c r="T26" s="1687"/>
      <c r="U26" s="1687"/>
      <c r="V26" s="1687"/>
      <c r="W26" s="1687"/>
      <c r="X26" s="1687"/>
      <c r="Y26" s="1687"/>
      <c r="Z26" s="1687"/>
      <c r="AA26" s="1687"/>
      <c r="AB26" s="1687"/>
    </row>
    <row r="27" spans="3:28" ht="15">
      <c r="C27" s="1111"/>
      <c r="D27" s="1283"/>
      <c r="E27" s="1284"/>
      <c r="F27" s="1126"/>
      <c r="G27" s="1127"/>
      <c r="H27" s="1127"/>
      <c r="I27" s="1127"/>
      <c r="J27" s="1127"/>
      <c r="K27" s="1128"/>
      <c r="L27" s="1128"/>
      <c r="M27" s="1128"/>
      <c r="N27" s="1705"/>
      <c r="O27" s="1684"/>
      <c r="P27" s="1685"/>
      <c r="Q27" s="1687"/>
      <c r="R27" s="1687"/>
      <c r="S27" s="1687"/>
      <c r="T27" s="1687"/>
      <c r="U27" s="1687"/>
      <c r="V27" s="1687"/>
      <c r="W27" s="1687"/>
      <c r="X27" s="1687"/>
      <c r="Y27" s="1687"/>
      <c r="Z27" s="1687"/>
      <c r="AA27" s="1687"/>
      <c r="AB27" s="1687"/>
    </row>
    <row r="28" spans="3:28" ht="15">
      <c r="C28" s="1111"/>
      <c r="D28" s="1285" t="s">
        <v>26</v>
      </c>
      <c r="E28" s="1285"/>
      <c r="F28" s="1285"/>
      <c r="G28" s="1127"/>
      <c r="H28" s="1127"/>
      <c r="I28" s="1127"/>
      <c r="J28" s="1127"/>
      <c r="K28" s="1128"/>
      <c r="L28" s="1128"/>
      <c r="M28" s="1128"/>
      <c r="N28" s="1705"/>
      <c r="O28" s="1684"/>
      <c r="P28" s="1685"/>
      <c r="Q28" s="1687"/>
      <c r="R28" s="1687"/>
      <c r="S28" s="1687"/>
      <c r="T28" s="1687"/>
      <c r="U28" s="1687"/>
      <c r="V28" s="1687"/>
      <c r="W28" s="1687"/>
      <c r="X28" s="1687"/>
      <c r="Y28" s="1687"/>
      <c r="Z28" s="1687"/>
      <c r="AA28" s="1687"/>
      <c r="AB28" s="1687"/>
    </row>
    <row r="29" spans="3:28" ht="15">
      <c r="C29" s="1111"/>
      <c r="D29" s="1285"/>
      <c r="E29" s="1285"/>
      <c r="F29" s="1285"/>
      <c r="G29" s="1127"/>
      <c r="H29" s="1127"/>
      <c r="I29" s="1127"/>
      <c r="J29" s="1127"/>
      <c r="K29" s="1128"/>
      <c r="L29" s="1128"/>
      <c r="M29" s="1128"/>
      <c r="N29" s="1705"/>
      <c r="O29" s="1684"/>
      <c r="P29" s="1685"/>
      <c r="Q29" s="1687"/>
      <c r="R29" s="1687"/>
      <c r="S29" s="1687"/>
      <c r="T29" s="1687"/>
      <c r="U29" s="1687"/>
      <c r="V29" s="1687"/>
      <c r="W29" s="1687"/>
      <c r="X29" s="1687"/>
      <c r="Y29" s="1687"/>
      <c r="Z29" s="1687"/>
      <c r="AA29" s="1687"/>
      <c r="AB29" s="1687"/>
    </row>
    <row r="30" spans="3:28" ht="32.25" customHeight="1">
      <c r="C30" s="1111"/>
      <c r="D30" s="1536" t="s">
        <v>1</v>
      </c>
      <c r="E30" s="1206" t="s">
        <v>2</v>
      </c>
      <c r="F30" s="1206" t="s">
        <v>3</v>
      </c>
      <c r="G30" s="1494" t="s">
        <v>634</v>
      </c>
      <c r="H30" s="1494" t="s">
        <v>664</v>
      </c>
      <c r="I30" s="1494" t="s">
        <v>635</v>
      </c>
      <c r="J30" s="1494">
        <v>2016</v>
      </c>
      <c r="K30" s="1494">
        <v>2017</v>
      </c>
      <c r="L30" s="1494">
        <v>2018</v>
      </c>
      <c r="M30" s="1494">
        <v>2019</v>
      </c>
      <c r="N30" s="1693"/>
      <c r="O30" s="1684"/>
      <c r="P30" s="1685"/>
      <c r="Q30" s="1687"/>
      <c r="R30" s="1687"/>
      <c r="S30" s="1687"/>
      <c r="T30" s="1687"/>
      <c r="U30" s="1687"/>
      <c r="V30" s="1687"/>
      <c r="W30" s="1687"/>
      <c r="X30" s="1687"/>
      <c r="Y30" s="1687"/>
      <c r="Z30" s="1687"/>
      <c r="AA30" s="1687"/>
      <c r="AB30" s="1687"/>
    </row>
    <row r="31" spans="3:28" ht="27.75" customHeight="1">
      <c r="C31" s="1111"/>
      <c r="D31" s="1537">
        <v>1</v>
      </c>
      <c r="E31" s="1201" t="s">
        <v>27</v>
      </c>
      <c r="F31" s="1218" t="s">
        <v>15</v>
      </c>
      <c r="G31" s="1173">
        <v>271.28000000000003</v>
      </c>
      <c r="H31" s="1173"/>
      <c r="I31" s="1173">
        <v>271.28</v>
      </c>
      <c r="J31" s="1506">
        <v>271.28</v>
      </c>
      <c r="K31" s="1506">
        <v>271.28</v>
      </c>
      <c r="L31" s="1506">
        <v>271.28</v>
      </c>
      <c r="M31" s="1506">
        <v>271.28</v>
      </c>
      <c r="N31" s="1706"/>
      <c r="O31" s="1684"/>
      <c r="P31" s="1685"/>
      <c r="Q31" s="1687"/>
      <c r="R31" s="1687"/>
      <c r="S31" s="1687"/>
      <c r="T31" s="1687"/>
      <c r="U31" s="1687"/>
      <c r="V31" s="1687"/>
      <c r="W31" s="1687"/>
      <c r="X31" s="1687"/>
      <c r="Y31" s="1687"/>
      <c r="Z31" s="1687"/>
      <c r="AA31" s="1687"/>
      <c r="AB31" s="1687"/>
    </row>
    <row r="32" spans="3:28" ht="23.25" customHeight="1">
      <c r="C32" s="1111"/>
      <c r="D32" s="1537">
        <v>2</v>
      </c>
      <c r="E32" s="1201" t="s">
        <v>28</v>
      </c>
      <c r="F32" s="1218" t="s">
        <v>1521</v>
      </c>
      <c r="G32" s="1507">
        <v>0</v>
      </c>
      <c r="H32" s="1129"/>
      <c r="I32" s="1209">
        <v>-2.0953781650253617E-16</v>
      </c>
      <c r="J32" s="1209">
        <v>0</v>
      </c>
      <c r="K32" s="1209">
        <v>0</v>
      </c>
      <c r="L32" s="1209">
        <v>0</v>
      </c>
      <c r="M32" s="1209">
        <v>0</v>
      </c>
      <c r="N32" s="1707"/>
      <c r="O32" s="1684"/>
      <c r="P32" s="1685"/>
      <c r="Q32" s="1687"/>
      <c r="R32" s="1687"/>
      <c r="S32" s="1687"/>
      <c r="T32" s="1687"/>
      <c r="U32" s="1687"/>
      <c r="V32" s="1687"/>
      <c r="W32" s="1687"/>
      <c r="X32" s="1687"/>
      <c r="Y32" s="1687"/>
      <c r="Z32" s="1687"/>
      <c r="AA32" s="1687"/>
      <c r="AB32" s="1687"/>
    </row>
    <row r="33" spans="3:28" ht="18.75" customHeight="1">
      <c r="C33" s="1111"/>
      <c r="D33" s="1537">
        <v>3</v>
      </c>
      <c r="E33" s="1508" t="s">
        <v>30</v>
      </c>
      <c r="F33" s="1509"/>
      <c r="G33" s="1129">
        <v>1.0454400000000004</v>
      </c>
      <c r="H33" s="1129"/>
      <c r="I33" s="1129" t="s">
        <v>5</v>
      </c>
      <c r="J33" s="1510">
        <v>1.03356</v>
      </c>
      <c r="K33" s="1510">
        <v>1.03257</v>
      </c>
      <c r="L33" s="1510">
        <v>1.03257</v>
      </c>
      <c r="M33" s="1510">
        <v>1.03257</v>
      </c>
      <c r="N33" s="1708"/>
      <c r="O33" s="1905" t="s">
        <v>31</v>
      </c>
      <c r="P33" s="1906"/>
      <c r="Q33" s="1906"/>
      <c r="R33" s="1906"/>
      <c r="S33" s="1906"/>
      <c r="T33" s="1906"/>
      <c r="U33" s="1906"/>
      <c r="V33" s="1906"/>
      <c r="W33" s="1906"/>
      <c r="X33" s="1906"/>
      <c r="Y33" s="1906"/>
      <c r="Z33" s="1906"/>
      <c r="AA33" s="1906"/>
      <c r="AB33" s="1906"/>
    </row>
    <row r="34" spans="3:28" ht="15">
      <c r="C34" s="1111"/>
      <c r="D34" s="1120"/>
      <c r="E34" s="1120"/>
      <c r="F34" s="1120"/>
      <c r="G34" s="1286"/>
      <c r="H34" s="1286"/>
      <c r="I34" s="1120"/>
      <c r="J34" s="1120"/>
      <c r="K34" s="1120"/>
      <c r="L34" s="1120"/>
      <c r="M34" s="1120"/>
      <c r="N34" s="1699"/>
      <c r="O34" s="1684"/>
      <c r="P34" s="1685"/>
      <c r="Q34" s="1687"/>
      <c r="R34" s="1687"/>
      <c r="S34" s="1687"/>
      <c r="T34" s="1687"/>
      <c r="U34" s="1687"/>
      <c r="V34" s="1687"/>
      <c r="W34" s="1687"/>
      <c r="X34" s="1687"/>
      <c r="Y34" s="1687"/>
      <c r="Z34" s="1687"/>
      <c r="AA34" s="1687"/>
      <c r="AB34" s="1687"/>
    </row>
    <row r="35" spans="3:28" ht="15">
      <c r="C35" s="1111"/>
      <c r="D35" s="124" t="s">
        <v>2477</v>
      </c>
      <c r="E35" s="1120"/>
      <c r="F35" s="1120"/>
      <c r="G35" s="1286"/>
      <c r="H35" s="1286"/>
      <c r="I35" s="1120"/>
      <c r="J35" s="1120"/>
      <c r="K35" s="1120"/>
      <c r="L35" s="1120"/>
      <c r="M35" s="1120"/>
      <c r="N35" s="1699"/>
      <c r="O35" s="1684"/>
      <c r="P35" s="1685"/>
      <c r="Q35" s="1687"/>
      <c r="R35" s="1687"/>
      <c r="S35" s="1687"/>
      <c r="T35" s="1687"/>
      <c r="U35" s="1687"/>
      <c r="V35" s="1687"/>
      <c r="W35" s="1687"/>
      <c r="X35" s="1687"/>
      <c r="Y35" s="1687"/>
      <c r="Z35" s="1687"/>
      <c r="AA35" s="1687"/>
      <c r="AB35" s="1687"/>
    </row>
    <row r="36" spans="3:28" ht="15">
      <c r="C36" s="1111"/>
      <c r="D36" s="1131" t="s">
        <v>32</v>
      </c>
      <c r="E36" s="1131"/>
      <c r="F36" s="1120"/>
      <c r="G36" s="1286"/>
      <c r="H36" s="1286"/>
      <c r="I36" s="1120"/>
      <c r="J36" s="1120"/>
      <c r="K36" s="1120"/>
      <c r="L36" s="1120"/>
      <c r="M36" s="1120"/>
      <c r="N36" s="1699"/>
      <c r="O36" s="1684"/>
      <c r="P36" s="1685"/>
      <c r="Q36" s="1687"/>
      <c r="R36" s="1687"/>
      <c r="S36" s="1687"/>
      <c r="T36" s="1687"/>
      <c r="U36" s="1687"/>
      <c r="V36" s="1687"/>
      <c r="W36" s="1687"/>
      <c r="X36" s="1687"/>
      <c r="Y36" s="1687"/>
      <c r="Z36" s="1687"/>
      <c r="AA36" s="1687"/>
      <c r="AB36" s="1687"/>
    </row>
    <row r="37" spans="3:28" ht="15">
      <c r="C37" s="1111"/>
      <c r="D37" s="1132"/>
      <c r="E37" s="1132"/>
      <c r="F37" s="1132"/>
      <c r="G37" s="1132"/>
      <c r="H37" s="1132"/>
      <c r="I37" s="1132"/>
      <c r="J37" s="1132"/>
      <c r="K37" s="1140"/>
      <c r="L37" s="1140"/>
      <c r="M37" s="1140"/>
      <c r="N37" s="1691"/>
      <c r="O37" s="1684"/>
      <c r="P37" s="1685"/>
      <c r="Q37" s="1687"/>
      <c r="R37" s="1687"/>
      <c r="S37" s="1687"/>
      <c r="T37" s="1687"/>
      <c r="U37" s="1687"/>
      <c r="V37" s="1687"/>
      <c r="W37" s="1687"/>
      <c r="X37" s="1687"/>
      <c r="Y37" s="1687"/>
      <c r="Z37" s="1687"/>
      <c r="AA37" s="1687"/>
      <c r="AB37" s="1687"/>
    </row>
    <row r="38" spans="3:28" ht="54.75" customHeight="1">
      <c r="C38" s="1111"/>
      <c r="D38" s="1513" t="s">
        <v>33</v>
      </c>
      <c r="E38" s="1494" t="s">
        <v>34</v>
      </c>
      <c r="F38" s="1494" t="s">
        <v>1413</v>
      </c>
      <c r="G38" s="1494" t="s">
        <v>634</v>
      </c>
      <c r="H38" s="1494" t="s">
        <v>664</v>
      </c>
      <c r="I38" s="1494" t="s">
        <v>635</v>
      </c>
      <c r="J38" s="1494">
        <v>2016</v>
      </c>
      <c r="K38" s="1494">
        <v>2017</v>
      </c>
      <c r="L38" s="1494">
        <v>2018</v>
      </c>
      <c r="M38" s="1494">
        <v>2019</v>
      </c>
      <c r="N38" s="1693"/>
      <c r="O38" s="1684"/>
      <c r="P38" s="1685"/>
      <c r="Q38" s="1687"/>
      <c r="R38" s="1687"/>
      <c r="S38" s="1687"/>
      <c r="T38" s="1687"/>
      <c r="U38" s="1687"/>
      <c r="V38" s="1687"/>
      <c r="W38" s="1687"/>
      <c r="X38" s="1687"/>
      <c r="Y38" s="1687"/>
      <c r="Z38" s="1687"/>
      <c r="AA38" s="1687"/>
      <c r="AB38" s="1687"/>
    </row>
    <row r="39" spans="3:28" ht="30.75" customHeight="1">
      <c r="C39" s="1111"/>
      <c r="D39" s="1514" t="s">
        <v>125</v>
      </c>
      <c r="E39" s="1133" t="s">
        <v>35</v>
      </c>
      <c r="F39" s="1220" t="s">
        <v>1527</v>
      </c>
      <c r="G39" s="1134">
        <v>110.22067244865605</v>
      </c>
      <c r="H39" s="1134">
        <v>552</v>
      </c>
      <c r="I39" s="1527">
        <v>227.04215000000002</v>
      </c>
      <c r="J39" s="1603">
        <v>459.4</v>
      </c>
      <c r="K39" s="1603">
        <v>295.6</v>
      </c>
      <c r="L39" s="1603">
        <v>250.19647695066473</v>
      </c>
      <c r="M39" s="1603">
        <v>258.34537620494785</v>
      </c>
      <c r="N39" s="1709"/>
      <c r="O39" s="1684"/>
      <c r="P39" s="1685"/>
      <c r="Q39" s="1687"/>
      <c r="R39" s="1687"/>
      <c r="S39" s="1687"/>
      <c r="T39" s="1687"/>
      <c r="U39" s="1687"/>
      <c r="V39" s="1687"/>
      <c r="W39" s="1687"/>
      <c r="X39" s="1687"/>
      <c r="Y39" s="1687"/>
      <c r="Z39" s="1687"/>
      <c r="AA39" s="1687"/>
      <c r="AB39" s="1687"/>
    </row>
    <row r="40" spans="3:28" ht="27.75" customHeight="1">
      <c r="C40" s="1111"/>
      <c r="D40" s="1515" t="s">
        <v>2503</v>
      </c>
      <c r="E40" s="1135" t="s">
        <v>36</v>
      </c>
      <c r="F40" s="1509" t="s">
        <v>1527</v>
      </c>
      <c r="G40" s="1210">
        <v>110.22067244865605</v>
      </c>
      <c r="H40" s="1210">
        <v>450</v>
      </c>
      <c r="I40" s="1602">
        <v>146.08215</v>
      </c>
      <c r="J40" s="1277">
        <v>252</v>
      </c>
      <c r="K40" s="1277">
        <v>295.62</v>
      </c>
      <c r="L40" s="1277"/>
      <c r="M40" s="1277"/>
      <c r="N40" s="1710"/>
      <c r="O40" s="1684"/>
      <c r="P40" s="1685"/>
      <c r="Q40" s="1687"/>
      <c r="R40" s="1687"/>
      <c r="S40" s="1687"/>
      <c r="T40" s="1687"/>
      <c r="U40" s="1687"/>
      <c r="V40" s="1687"/>
      <c r="W40" s="1687"/>
      <c r="X40" s="1687"/>
      <c r="Y40" s="1687"/>
      <c r="Z40" s="1687"/>
      <c r="AA40" s="1687"/>
      <c r="AB40" s="1687"/>
    </row>
    <row r="41" spans="3:28" ht="21.75" customHeight="1">
      <c r="C41" s="1111"/>
      <c r="D41" s="1515" t="s">
        <v>1611</v>
      </c>
      <c r="E41" s="1135" t="s">
        <v>37</v>
      </c>
      <c r="F41" s="1509" t="s">
        <v>1527</v>
      </c>
      <c r="G41" s="1210">
        <v>0</v>
      </c>
      <c r="H41" s="1210">
        <v>102</v>
      </c>
      <c r="I41" s="1602">
        <v>80.96000000000001</v>
      </c>
      <c r="J41" s="1277">
        <v>207.4</v>
      </c>
      <c r="K41" s="1277">
        <v>295.62</v>
      </c>
      <c r="L41" s="1277"/>
      <c r="M41" s="1277"/>
      <c r="N41" s="1710"/>
      <c r="O41" s="1684"/>
      <c r="P41" s="1685"/>
      <c r="Q41" s="1687"/>
      <c r="R41" s="1687"/>
      <c r="S41" s="1687"/>
      <c r="T41" s="1687"/>
      <c r="U41" s="1687"/>
      <c r="V41" s="1687"/>
      <c r="W41" s="1687"/>
      <c r="X41" s="1687"/>
      <c r="Y41" s="1687"/>
      <c r="Z41" s="1687"/>
      <c r="AA41" s="1687"/>
      <c r="AB41" s="1687"/>
    </row>
    <row r="42" spans="3:28" ht="26.25" customHeight="1">
      <c r="C42" s="1111"/>
      <c r="D42" s="1514" t="s">
        <v>1230</v>
      </c>
      <c r="E42" s="1133" t="s">
        <v>38</v>
      </c>
      <c r="F42" s="1220" t="s">
        <v>1527</v>
      </c>
      <c r="G42" s="1603">
        <v>902.8558945114827</v>
      </c>
      <c r="H42" s="1603">
        <v>1314.61</v>
      </c>
      <c r="I42" s="1603">
        <v>1229.582301696</v>
      </c>
      <c r="J42" s="1603">
        <v>1270.847083740918</v>
      </c>
      <c r="K42" s="1603">
        <v>1332.94</v>
      </c>
      <c r="L42" s="1603">
        <v>1354.9781835893843</v>
      </c>
      <c r="M42" s="1603">
        <v>1399.1098230288906</v>
      </c>
      <c r="N42" s="1711">
        <f>I42/G42</f>
        <v>1.361881014645535</v>
      </c>
      <c r="P42" s="1685"/>
      <c r="Q42" s="1687"/>
      <c r="R42" s="1687"/>
      <c r="S42" s="1687"/>
      <c r="T42" s="1687"/>
      <c r="U42" s="1687"/>
      <c r="V42" s="1687"/>
      <c r="W42" s="1687"/>
      <c r="X42" s="1687"/>
      <c r="Y42" s="1687"/>
      <c r="Z42" s="1687"/>
      <c r="AA42" s="1687"/>
      <c r="AB42" s="1687"/>
    </row>
    <row r="43" spans="3:28" ht="16.5" customHeight="1">
      <c r="C43" s="1111"/>
      <c r="D43" s="1516" t="s">
        <v>1426</v>
      </c>
      <c r="E43" s="1136" t="s">
        <v>39</v>
      </c>
      <c r="F43" s="1220" t="s">
        <v>1527</v>
      </c>
      <c r="G43" s="1137">
        <v>118.26048044209405</v>
      </c>
      <c r="H43" s="1137">
        <v>1517.619</v>
      </c>
      <c r="I43" s="1137">
        <v>170.52707335514722</v>
      </c>
      <c r="J43" s="1603">
        <v>203.12</v>
      </c>
      <c r="K43" s="1603">
        <v>562.84</v>
      </c>
      <c r="L43" s="1603">
        <v>187.91785128076614</v>
      </c>
      <c r="M43" s="1603">
        <v>194.03833569698068</v>
      </c>
      <c r="N43" s="1713">
        <f>I43/G43</f>
        <v>1.4419616148832186</v>
      </c>
      <c r="O43" s="1684"/>
      <c r="P43" s="1685"/>
      <c r="Q43" s="1687"/>
      <c r="R43" s="1687"/>
      <c r="S43" s="1687"/>
      <c r="T43" s="1687"/>
      <c r="U43" s="1687"/>
      <c r="V43" s="1687"/>
      <c r="W43" s="1687"/>
      <c r="X43" s="1687"/>
      <c r="Y43" s="1687"/>
      <c r="Z43" s="1687"/>
      <c r="AA43" s="1687"/>
      <c r="AB43" s="1687"/>
    </row>
    <row r="44" spans="3:28" ht="20.25" customHeight="1">
      <c r="C44" s="1111"/>
      <c r="D44" s="1515" t="s">
        <v>666</v>
      </c>
      <c r="E44" s="1135" t="s">
        <v>41</v>
      </c>
      <c r="F44" s="1509" t="s">
        <v>1527</v>
      </c>
      <c r="G44" s="1210">
        <v>86.35421397335043</v>
      </c>
      <c r="H44" s="1210"/>
      <c r="I44" s="1211"/>
      <c r="J44" s="1277"/>
      <c r="K44" s="1277"/>
      <c r="L44" s="1277"/>
      <c r="M44" s="1277"/>
      <c r="N44" s="1710"/>
      <c r="O44" s="1684"/>
      <c r="P44" s="1685"/>
      <c r="Q44" s="1687"/>
      <c r="R44" s="1687"/>
      <c r="S44" s="1687"/>
      <c r="T44" s="1687"/>
      <c r="U44" s="1687"/>
      <c r="V44" s="1687"/>
      <c r="W44" s="1687"/>
      <c r="X44" s="1687"/>
      <c r="Y44" s="1687"/>
      <c r="Z44" s="1687"/>
      <c r="AA44" s="1687"/>
      <c r="AB44" s="1687"/>
    </row>
    <row r="45" spans="3:28" ht="27" customHeight="1">
      <c r="C45" s="1111"/>
      <c r="D45" s="1515" t="s">
        <v>667</v>
      </c>
      <c r="E45" s="1135" t="s">
        <v>43</v>
      </c>
      <c r="F45" s="1509" t="s">
        <v>1527</v>
      </c>
      <c r="G45" s="1210"/>
      <c r="H45" s="1210"/>
      <c r="I45" s="1211">
        <v>27.2564994</v>
      </c>
      <c r="J45" s="1277"/>
      <c r="K45" s="1277"/>
      <c r="L45" s="1277"/>
      <c r="M45" s="1277"/>
      <c r="N45" s="1710"/>
      <c r="O45" s="1684"/>
      <c r="P45" s="1685"/>
      <c r="Q45" s="1687"/>
      <c r="R45" s="1687"/>
      <c r="S45" s="1687"/>
      <c r="T45" s="1687"/>
      <c r="U45" s="1687"/>
      <c r="V45" s="1687"/>
      <c r="W45" s="1687"/>
      <c r="X45" s="1687"/>
      <c r="Y45" s="1687"/>
      <c r="Z45" s="1687"/>
      <c r="AA45" s="1687"/>
      <c r="AB45" s="1687"/>
    </row>
    <row r="46" spans="3:28" ht="27" customHeight="1">
      <c r="C46" s="1111"/>
      <c r="D46" s="1624" t="s">
        <v>709</v>
      </c>
      <c r="E46" s="1625" t="s">
        <v>710</v>
      </c>
      <c r="F46" s="1509"/>
      <c r="G46" s="1210"/>
      <c r="H46" s="1210"/>
      <c r="I46" s="1211"/>
      <c r="J46" s="1277"/>
      <c r="K46" s="1277"/>
      <c r="L46" s="1277"/>
      <c r="M46" s="1277"/>
      <c r="N46" s="1710"/>
      <c r="O46" s="1684"/>
      <c r="P46" s="1685"/>
      <c r="Q46" s="168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</row>
    <row r="47" spans="3:28" ht="27" customHeight="1">
      <c r="C47" s="1111"/>
      <c r="D47" s="1624" t="s">
        <v>711</v>
      </c>
      <c r="E47" s="1625" t="s">
        <v>712</v>
      </c>
      <c r="F47" s="1509"/>
      <c r="G47" s="1210"/>
      <c r="H47" s="1210"/>
      <c r="I47" s="1211"/>
      <c r="J47" s="1277"/>
      <c r="K47" s="1277"/>
      <c r="L47" s="1277"/>
      <c r="M47" s="1277"/>
      <c r="N47" s="1710"/>
      <c r="O47" s="1684"/>
      <c r="P47" s="1685"/>
      <c r="Q47" s="1687"/>
      <c r="R47" s="1687"/>
      <c r="S47" s="1687"/>
      <c r="T47" s="1687"/>
      <c r="U47" s="1687"/>
      <c r="V47" s="1687"/>
      <c r="W47" s="1687"/>
      <c r="X47" s="1687"/>
      <c r="Y47" s="1687"/>
      <c r="Z47" s="1687"/>
      <c r="AA47" s="1687"/>
      <c r="AB47" s="1687"/>
    </row>
    <row r="48" spans="3:28" ht="27" customHeight="1">
      <c r="C48" s="1111"/>
      <c r="D48" s="1624" t="s">
        <v>713</v>
      </c>
      <c r="E48" s="1625" t="s">
        <v>714</v>
      </c>
      <c r="F48" s="1509"/>
      <c r="G48" s="1210"/>
      <c r="H48" s="1210"/>
      <c r="I48" s="1211"/>
      <c r="J48" s="1277"/>
      <c r="K48" s="1277"/>
      <c r="L48" s="1277"/>
      <c r="M48" s="1277"/>
      <c r="N48" s="1710"/>
      <c r="O48" s="1684"/>
      <c r="P48" s="1685"/>
      <c r="Q48" s="1687"/>
      <c r="R48" s="1687"/>
      <c r="S48" s="1687"/>
      <c r="T48" s="1687"/>
      <c r="U48" s="1687"/>
      <c r="V48" s="1687"/>
      <c r="W48" s="1687"/>
      <c r="X48" s="1687"/>
      <c r="Y48" s="1687"/>
      <c r="Z48" s="1687"/>
      <c r="AA48" s="1687"/>
      <c r="AB48" s="1687"/>
    </row>
    <row r="49" spans="3:28" ht="27" customHeight="1">
      <c r="C49" s="1111"/>
      <c r="D49" s="1624" t="s">
        <v>715</v>
      </c>
      <c r="E49" s="1625" t="s">
        <v>716</v>
      </c>
      <c r="F49" s="1509"/>
      <c r="G49" s="1210"/>
      <c r="H49" s="1210"/>
      <c r="I49" s="1211"/>
      <c r="J49" s="1277"/>
      <c r="K49" s="1277">
        <v>3.8</v>
      </c>
      <c r="L49" s="1277"/>
      <c r="M49" s="1277"/>
      <c r="N49" s="1710"/>
      <c r="O49" s="1684"/>
      <c r="P49" s="1685"/>
      <c r="Q49" s="1687"/>
      <c r="R49" s="1687"/>
      <c r="S49" s="1687"/>
      <c r="T49" s="1687"/>
      <c r="U49" s="1687"/>
      <c r="V49" s="1687"/>
      <c r="W49" s="1687"/>
      <c r="X49" s="1687"/>
      <c r="Y49" s="1687"/>
      <c r="Z49" s="1687"/>
      <c r="AA49" s="1687"/>
      <c r="AB49" s="1687"/>
    </row>
    <row r="50" spans="3:28" ht="27" customHeight="1">
      <c r="C50" s="1111"/>
      <c r="D50" s="1624" t="s">
        <v>717</v>
      </c>
      <c r="E50" s="1625" t="s">
        <v>718</v>
      </c>
      <c r="F50" s="1509"/>
      <c r="G50" s="1210"/>
      <c r="H50" s="1210"/>
      <c r="I50" s="1211">
        <v>22.0564994</v>
      </c>
      <c r="J50" s="1277">
        <v>22.3</v>
      </c>
      <c r="K50" s="1277">
        <v>22.4</v>
      </c>
      <c r="L50" s="1277"/>
      <c r="M50" s="1277"/>
      <c r="N50" s="1710"/>
      <c r="O50" s="1684"/>
      <c r="P50" s="1685"/>
      <c r="Q50" s="1687"/>
      <c r="R50" s="1687"/>
      <c r="S50" s="1687"/>
      <c r="T50" s="1687"/>
      <c r="U50" s="1687"/>
      <c r="V50" s="1687"/>
      <c r="W50" s="1687"/>
      <c r="X50" s="1687"/>
      <c r="Y50" s="1687"/>
      <c r="Z50" s="1687"/>
      <c r="AA50" s="1687"/>
      <c r="AB50" s="1687"/>
    </row>
    <row r="51" spans="3:28" ht="27" customHeight="1">
      <c r="C51" s="1111"/>
      <c r="D51" s="1624" t="s">
        <v>719</v>
      </c>
      <c r="E51" s="1625" t="s">
        <v>720</v>
      </c>
      <c r="F51" s="1509"/>
      <c r="G51" s="1210"/>
      <c r="H51" s="1210"/>
      <c r="I51" s="1211">
        <v>5.2</v>
      </c>
      <c r="J51" s="1211">
        <v>5.2</v>
      </c>
      <c r="K51" s="1211">
        <v>5.2</v>
      </c>
      <c r="L51" s="1277"/>
      <c r="M51" s="1277"/>
      <c r="N51" s="1710"/>
      <c r="O51" s="1684"/>
      <c r="P51" s="1685"/>
      <c r="Q51" s="1687"/>
      <c r="R51" s="1687"/>
      <c r="S51" s="1687"/>
      <c r="T51" s="1687"/>
      <c r="U51" s="1687"/>
      <c r="V51" s="1687"/>
      <c r="W51" s="1687"/>
      <c r="X51" s="1687"/>
      <c r="Y51" s="1687"/>
      <c r="Z51" s="1687"/>
      <c r="AA51" s="1687"/>
      <c r="AB51" s="1687"/>
    </row>
    <row r="52" spans="3:28" ht="27.75" customHeight="1">
      <c r="C52" s="1111"/>
      <c r="D52" s="1515" t="s">
        <v>668</v>
      </c>
      <c r="E52" s="1135" t="s">
        <v>676</v>
      </c>
      <c r="F52" s="1509" t="s">
        <v>1527</v>
      </c>
      <c r="G52" s="1210"/>
      <c r="H52" s="1210">
        <v>402.27</v>
      </c>
      <c r="I52" s="1210"/>
      <c r="J52" s="1277"/>
      <c r="K52" s="1277">
        <v>21.7</v>
      </c>
      <c r="L52" s="1277"/>
      <c r="M52" s="1277"/>
      <c r="N52" s="1710"/>
      <c r="O52" s="1684"/>
      <c r="P52" s="1685"/>
      <c r="Q52" s="1687"/>
      <c r="R52" s="1687"/>
      <c r="S52" s="1687"/>
      <c r="T52" s="1687"/>
      <c r="U52" s="1687"/>
      <c r="V52" s="1687"/>
      <c r="W52" s="1687"/>
      <c r="X52" s="1687"/>
      <c r="Y52" s="1687"/>
      <c r="Z52" s="1687"/>
      <c r="AA52" s="1687"/>
      <c r="AB52" s="1687"/>
    </row>
    <row r="53" spans="3:28" ht="30" customHeight="1">
      <c r="C53" s="1111"/>
      <c r="D53" s="1515" t="s">
        <v>669</v>
      </c>
      <c r="E53" s="1135" t="s">
        <v>47</v>
      </c>
      <c r="F53" s="1509" t="s">
        <v>1527</v>
      </c>
      <c r="G53" s="1210"/>
      <c r="H53" s="1210"/>
      <c r="I53" s="1210">
        <v>3</v>
      </c>
      <c r="J53" s="1277">
        <v>6.8</v>
      </c>
      <c r="K53" s="1277">
        <v>6.8</v>
      </c>
      <c r="L53" s="1277"/>
      <c r="M53" s="1277"/>
      <c r="N53" s="1710"/>
      <c r="O53" s="1684"/>
      <c r="P53" s="1685"/>
      <c r="Q53" s="1687"/>
      <c r="R53" s="1687"/>
      <c r="S53" s="1687"/>
      <c r="T53" s="1687"/>
      <c r="U53" s="1687"/>
      <c r="V53" s="1687"/>
      <c r="W53" s="1687"/>
      <c r="X53" s="1687"/>
      <c r="Y53" s="1687"/>
      <c r="Z53" s="1687"/>
      <c r="AA53" s="1687"/>
      <c r="AB53" s="1687"/>
    </row>
    <row r="54" spans="3:28" ht="30" customHeight="1">
      <c r="C54" s="1111"/>
      <c r="D54" s="1515" t="s">
        <v>670</v>
      </c>
      <c r="E54" s="1626" t="s">
        <v>721</v>
      </c>
      <c r="F54" s="1509"/>
      <c r="G54" s="1210"/>
      <c r="H54" s="1210"/>
      <c r="I54" s="1210">
        <v>43.255721189999996</v>
      </c>
      <c r="J54" s="1277">
        <v>42.3</v>
      </c>
      <c r="K54" s="1277">
        <v>42</v>
      </c>
      <c r="L54" s="1277"/>
      <c r="M54" s="1277"/>
      <c r="N54" s="1710"/>
      <c r="O54" s="1684"/>
      <c r="P54" s="1685"/>
      <c r="Q54" s="1687"/>
      <c r="R54" s="1687"/>
      <c r="S54" s="1687"/>
      <c r="T54" s="1687"/>
      <c r="U54" s="1687"/>
      <c r="V54" s="1687"/>
      <c r="W54" s="1687"/>
      <c r="X54" s="1687"/>
      <c r="Y54" s="1687"/>
      <c r="Z54" s="1687"/>
      <c r="AA54" s="1687"/>
      <c r="AB54" s="1687"/>
    </row>
    <row r="55" spans="3:28" ht="30" customHeight="1">
      <c r="C55" s="1111"/>
      <c r="D55" s="1515" t="s">
        <v>671</v>
      </c>
      <c r="E55" s="1623" t="s">
        <v>722</v>
      </c>
      <c r="F55" s="1509"/>
      <c r="G55" s="1210"/>
      <c r="H55" s="1210"/>
      <c r="I55" s="1210"/>
      <c r="J55" s="1277"/>
      <c r="K55" s="1277"/>
      <c r="L55" s="1277"/>
      <c r="M55" s="1277"/>
      <c r="N55" s="1710"/>
      <c r="O55" s="1684"/>
      <c r="P55" s="1685"/>
      <c r="Q55" s="1687"/>
      <c r="R55" s="1687"/>
      <c r="S55" s="1687"/>
      <c r="T55" s="1687"/>
      <c r="U55" s="1687"/>
      <c r="V55" s="1687"/>
      <c r="W55" s="1687"/>
      <c r="X55" s="1687"/>
      <c r="Y55" s="1687"/>
      <c r="Z55" s="1687"/>
      <c r="AA55" s="1687"/>
      <c r="AB55" s="1687"/>
    </row>
    <row r="56" spans="3:28" ht="41.25" customHeight="1">
      <c r="C56" s="1111"/>
      <c r="D56" s="1515" t="s">
        <v>672</v>
      </c>
      <c r="E56" s="1135" t="s">
        <v>49</v>
      </c>
      <c r="F56" s="1509" t="s">
        <v>1527</v>
      </c>
      <c r="G56" s="1210">
        <v>15.057528889223626</v>
      </c>
      <c r="H56" s="1210">
        <v>123.58</v>
      </c>
      <c r="I56" s="1211">
        <v>16.06638332480161</v>
      </c>
      <c r="J56" s="1277">
        <v>35.6</v>
      </c>
      <c r="K56" s="1277">
        <v>127.4</v>
      </c>
      <c r="L56" s="1277"/>
      <c r="M56" s="1277"/>
      <c r="N56" s="1710"/>
      <c r="O56" s="1684"/>
      <c r="P56" s="1685"/>
      <c r="Q56" s="1687"/>
      <c r="R56" s="1687"/>
      <c r="S56" s="1687"/>
      <c r="T56" s="1687"/>
      <c r="U56" s="1687"/>
      <c r="V56" s="1687"/>
      <c r="W56" s="1687"/>
      <c r="X56" s="1687"/>
      <c r="Y56" s="1687"/>
      <c r="Z56" s="1687"/>
      <c r="AA56" s="1687"/>
      <c r="AB56" s="1687"/>
    </row>
    <row r="57" spans="3:28" ht="35.25" customHeight="1">
      <c r="C57" s="1111"/>
      <c r="D57" s="1515" t="s">
        <v>673</v>
      </c>
      <c r="E57" s="1135" t="s">
        <v>51</v>
      </c>
      <c r="F57" s="1509" t="s">
        <v>1527</v>
      </c>
      <c r="G57" s="1210">
        <v>0</v>
      </c>
      <c r="H57" s="1210">
        <v>276.469</v>
      </c>
      <c r="I57" s="1210"/>
      <c r="J57" s="1277"/>
      <c r="K57" s="1277">
        <v>288.2</v>
      </c>
      <c r="L57" s="1277"/>
      <c r="M57" s="1277"/>
      <c r="N57" s="1710"/>
      <c r="O57" s="1684"/>
      <c r="P57" s="1685"/>
      <c r="Q57" s="1687"/>
      <c r="R57" s="1687"/>
      <c r="S57" s="1687"/>
      <c r="T57" s="1687"/>
      <c r="U57" s="1687"/>
      <c r="V57" s="1687"/>
      <c r="W57" s="1687"/>
      <c r="X57" s="1687"/>
      <c r="Y57" s="1687"/>
      <c r="Z57" s="1687"/>
      <c r="AA57" s="1687"/>
      <c r="AB57" s="1687"/>
    </row>
    <row r="58" spans="2:28" ht="23.25" customHeight="1">
      <c r="B58" s="149"/>
      <c r="C58" s="1111"/>
      <c r="D58" s="1515" t="s">
        <v>723</v>
      </c>
      <c r="E58" s="1135" t="s">
        <v>53</v>
      </c>
      <c r="F58" s="1509" t="s">
        <v>1527</v>
      </c>
      <c r="G58" s="1211">
        <v>16.848737579520005</v>
      </c>
      <c r="H58" s="1211">
        <v>43.9</v>
      </c>
      <c r="I58" s="1211">
        <v>24.59</v>
      </c>
      <c r="J58" s="1681">
        <v>25.415240400000002</v>
      </c>
      <c r="K58" s="1681">
        <v>26.243014779828002</v>
      </c>
      <c r="L58" s="1681">
        <v>27.097749771207</v>
      </c>
      <c r="M58" s="1681">
        <v>27.980323481255212</v>
      </c>
      <c r="N58" s="1710"/>
      <c r="O58" s="1684"/>
      <c r="P58" s="1685"/>
      <c r="Q58" s="1687"/>
      <c r="R58" s="1687"/>
      <c r="S58" s="1687"/>
      <c r="T58" s="1687"/>
      <c r="U58" s="1687"/>
      <c r="V58" s="1687"/>
      <c r="W58" s="1687"/>
      <c r="X58" s="1687"/>
      <c r="Y58" s="1687"/>
      <c r="Z58" s="1687"/>
      <c r="AA58" s="1687"/>
      <c r="AB58" s="1687"/>
    </row>
    <row r="59" spans="3:28" ht="23.25" customHeight="1">
      <c r="C59" s="1111"/>
      <c r="D59" s="1515" t="s">
        <v>724</v>
      </c>
      <c r="E59" s="1135" t="s">
        <v>55</v>
      </c>
      <c r="F59" s="1509" t="s">
        <v>1527</v>
      </c>
      <c r="G59" s="1211"/>
      <c r="H59" s="1211">
        <v>86.4</v>
      </c>
      <c r="I59" s="1211"/>
      <c r="J59" s="1277">
        <v>65.5</v>
      </c>
      <c r="K59" s="1277"/>
      <c r="L59" s="1277"/>
      <c r="M59" s="1277"/>
      <c r="N59" s="1710"/>
      <c r="O59" s="1684"/>
      <c r="P59" s="1685"/>
      <c r="Q59" s="1687"/>
      <c r="R59" s="1687"/>
      <c r="S59" s="1687"/>
      <c r="T59" s="1687"/>
      <c r="U59" s="1687"/>
      <c r="V59" s="1687"/>
      <c r="W59" s="1687"/>
      <c r="X59" s="1687"/>
      <c r="Y59" s="1687"/>
      <c r="Z59" s="1687"/>
      <c r="AA59" s="1687"/>
      <c r="AB59" s="1687"/>
    </row>
    <row r="60" spans="3:28" ht="33.75" customHeight="1">
      <c r="C60" s="1111"/>
      <c r="D60" s="1514" t="s">
        <v>674</v>
      </c>
      <c r="E60" s="1133" t="s">
        <v>61</v>
      </c>
      <c r="F60" s="1509" t="s">
        <v>1527</v>
      </c>
      <c r="G60" s="1211"/>
      <c r="H60" s="1211"/>
      <c r="I60" s="1134">
        <v>56.35846944034561</v>
      </c>
      <c r="J60" s="1603">
        <v>58.249859674763606</v>
      </c>
      <c r="K60" s="1603">
        <v>83.5</v>
      </c>
      <c r="L60" s="1603">
        <v>62.10604727054501</v>
      </c>
      <c r="M60" s="1603">
        <v>64.12884123014666</v>
      </c>
      <c r="N60" s="1710"/>
      <c r="O60" s="1684"/>
      <c r="P60" s="1685"/>
      <c r="Q60" s="1687"/>
      <c r="R60" s="1687"/>
      <c r="S60" s="1687"/>
      <c r="T60" s="1687"/>
      <c r="U60" s="1687"/>
      <c r="V60" s="1687"/>
      <c r="W60" s="1687"/>
      <c r="X60" s="1687"/>
      <c r="Y60" s="1687"/>
      <c r="Z60" s="1687"/>
      <c r="AA60" s="1687"/>
      <c r="AB60" s="1687"/>
    </row>
    <row r="61" spans="3:28" ht="28.5" customHeight="1">
      <c r="C61" s="1111"/>
      <c r="D61" s="1517"/>
      <c r="E61" s="1133" t="s">
        <v>56</v>
      </c>
      <c r="F61" s="1220" t="s">
        <v>1527</v>
      </c>
      <c r="G61" s="1512">
        <v>1131.3370474022329</v>
      </c>
      <c r="H61" s="1512">
        <v>3384.229</v>
      </c>
      <c r="I61" s="1511">
        <v>1683.5099944914928</v>
      </c>
      <c r="J61" s="1512">
        <v>1991.612</v>
      </c>
      <c r="K61" s="1512">
        <v>2191.38</v>
      </c>
      <c r="L61" s="1512">
        <v>1855.1985590913603</v>
      </c>
      <c r="M61" s="1512">
        <v>1915.6223761609658</v>
      </c>
      <c r="N61" s="1711"/>
      <c r="O61" s="1684"/>
      <c r="P61" s="1685"/>
      <c r="Q61" s="1687"/>
      <c r="R61" s="1687"/>
      <c r="S61" s="1687"/>
      <c r="T61" s="1687"/>
      <c r="U61" s="1687"/>
      <c r="V61" s="1687"/>
      <c r="W61" s="1687"/>
      <c r="X61" s="1687"/>
      <c r="Y61" s="1687"/>
      <c r="Z61" s="1687"/>
      <c r="AA61" s="1687"/>
      <c r="AB61" s="1687"/>
    </row>
    <row r="62" spans="3:28" ht="15">
      <c r="C62" s="1111"/>
      <c r="D62" s="1139"/>
      <c r="E62" s="1139"/>
      <c r="F62" s="1139"/>
      <c r="G62" s="1139"/>
      <c r="H62" s="1139"/>
      <c r="I62" s="1212">
        <v>1.4880711264226298</v>
      </c>
      <c r="J62" s="1212"/>
      <c r="K62" s="1291">
        <v>1.03257</v>
      </c>
      <c r="L62" s="1291"/>
      <c r="M62" s="1291"/>
      <c r="N62" s="1714"/>
      <c r="O62" s="1684"/>
      <c r="P62" s="1685"/>
      <c r="Q62" s="1687"/>
      <c r="R62" s="1687"/>
      <c r="S62" s="1687"/>
      <c r="T62" s="1687"/>
      <c r="U62" s="1687"/>
      <c r="V62" s="1687"/>
      <c r="W62" s="1687"/>
      <c r="X62" s="1687"/>
      <c r="Y62" s="1687"/>
      <c r="Z62" s="1687"/>
      <c r="AA62" s="1687"/>
      <c r="AB62" s="1687"/>
    </row>
    <row r="63" spans="3:28" ht="15">
      <c r="C63" s="1111"/>
      <c r="D63" s="1159" t="s">
        <v>2477</v>
      </c>
      <c r="E63" s="1139"/>
      <c r="F63" s="1139"/>
      <c r="G63" s="1139"/>
      <c r="H63" s="1139"/>
      <c r="I63" s="1212"/>
      <c r="J63" s="1212"/>
      <c r="K63" s="1291"/>
      <c r="L63" s="1291"/>
      <c r="M63" s="1291"/>
      <c r="N63" s="1714"/>
      <c r="O63" s="1684"/>
      <c r="P63" s="1685"/>
      <c r="Q63" s="1687"/>
      <c r="R63" s="1687"/>
      <c r="S63" s="1687"/>
      <c r="T63" s="1687"/>
      <c r="U63" s="1687"/>
      <c r="V63" s="1687"/>
      <c r="W63" s="1687"/>
      <c r="X63" s="1687"/>
      <c r="Y63" s="1687"/>
      <c r="Z63" s="1687"/>
      <c r="AA63" s="1687"/>
      <c r="AB63" s="1687"/>
    </row>
    <row r="64" spans="3:28" ht="15">
      <c r="C64" s="1111"/>
      <c r="D64" s="1131" t="s">
        <v>57</v>
      </c>
      <c r="E64" s="1285"/>
      <c r="F64" s="1140"/>
      <c r="G64" s="1140"/>
      <c r="H64" s="1140"/>
      <c r="I64" s="1140"/>
      <c r="J64" s="1140"/>
      <c r="K64" s="1140"/>
      <c r="L64" s="1140"/>
      <c r="M64" s="1140"/>
      <c r="N64" s="1691"/>
      <c r="O64" s="1684"/>
      <c r="P64" s="1685"/>
      <c r="Q64" s="1687"/>
      <c r="R64" s="1687"/>
      <c r="S64" s="1687"/>
      <c r="T64" s="1687"/>
      <c r="U64" s="1687"/>
      <c r="V64" s="1687"/>
      <c r="W64" s="1687"/>
      <c r="X64" s="1687"/>
      <c r="Y64" s="1687"/>
      <c r="Z64" s="1687"/>
      <c r="AA64" s="1687"/>
      <c r="AB64" s="1687"/>
    </row>
    <row r="65" spans="3:28" ht="15">
      <c r="C65" s="1115"/>
      <c r="D65" s="1132"/>
      <c r="E65" s="1128"/>
      <c r="F65" s="1128"/>
      <c r="G65" s="1128"/>
      <c r="H65" s="1128"/>
      <c r="I65" s="1128"/>
      <c r="J65" s="1128"/>
      <c r="K65" s="1140"/>
      <c r="L65" s="1140"/>
      <c r="M65" s="1140"/>
      <c r="N65" s="1691"/>
      <c r="O65" s="1692"/>
      <c r="P65" s="1685"/>
      <c r="Q65" s="1687"/>
      <c r="R65" s="1687"/>
      <c r="S65" s="1687"/>
      <c r="T65" s="1687"/>
      <c r="U65" s="1687"/>
      <c r="V65" s="1687"/>
      <c r="W65" s="1687"/>
      <c r="X65" s="1687"/>
      <c r="Y65" s="1687"/>
      <c r="Z65" s="1687"/>
      <c r="AA65" s="1687"/>
      <c r="AB65" s="1687"/>
    </row>
    <row r="66" spans="3:28" ht="37.5" customHeight="1">
      <c r="C66" s="1111"/>
      <c r="D66" s="1513" t="s">
        <v>33</v>
      </c>
      <c r="E66" s="1494" t="s">
        <v>34</v>
      </c>
      <c r="F66" s="1494" t="s">
        <v>1413</v>
      </c>
      <c r="G66" s="1494" t="s">
        <v>634</v>
      </c>
      <c r="H66" s="1494" t="s">
        <v>664</v>
      </c>
      <c r="I66" s="1494" t="s">
        <v>635</v>
      </c>
      <c r="J66" s="1494">
        <v>2016</v>
      </c>
      <c r="K66" s="1494">
        <v>2017</v>
      </c>
      <c r="L66" s="1494">
        <v>2018</v>
      </c>
      <c r="M66" s="1494">
        <v>2019</v>
      </c>
      <c r="N66" s="1693"/>
      <c r="O66" s="1684"/>
      <c r="P66" s="1685"/>
      <c r="Q66" s="1687"/>
      <c r="R66" s="1687"/>
      <c r="S66" s="1687"/>
      <c r="T66" s="1687"/>
      <c r="U66" s="1687"/>
      <c r="V66" s="1687"/>
      <c r="W66" s="1687"/>
      <c r="X66" s="1687"/>
      <c r="Y66" s="1687"/>
      <c r="Z66" s="1687"/>
      <c r="AA66" s="1687"/>
      <c r="AB66" s="1687"/>
    </row>
    <row r="67" spans="3:28" ht="26.25" customHeight="1">
      <c r="C67" s="1111"/>
      <c r="D67" s="1518" t="s">
        <v>1267</v>
      </c>
      <c r="E67" s="1519" t="s">
        <v>58</v>
      </c>
      <c r="F67" s="1141" t="s">
        <v>1527</v>
      </c>
      <c r="G67" s="1142"/>
      <c r="H67" s="1142"/>
      <c r="I67" s="1142"/>
      <c r="J67" s="1142"/>
      <c r="K67" s="1142"/>
      <c r="L67" s="1142"/>
      <c r="M67" s="1142"/>
      <c r="N67" s="1715"/>
      <c r="O67" s="1684"/>
      <c r="P67" s="1685"/>
      <c r="Q67" s="1687"/>
      <c r="R67" s="1687"/>
      <c r="S67" s="1687"/>
      <c r="T67" s="1687"/>
      <c r="U67" s="1687"/>
      <c r="V67" s="1687"/>
      <c r="W67" s="1687"/>
      <c r="X67" s="1687"/>
      <c r="Y67" s="1687"/>
      <c r="Z67" s="1687"/>
      <c r="AA67" s="1687"/>
      <c r="AB67" s="1687"/>
    </row>
    <row r="68" spans="3:28" ht="27" customHeight="1">
      <c r="C68" s="1111"/>
      <c r="D68" s="1518" t="s">
        <v>1268</v>
      </c>
      <c r="E68" s="1519" t="s">
        <v>59</v>
      </c>
      <c r="F68" s="1141" t="s">
        <v>1527</v>
      </c>
      <c r="G68" s="1142">
        <v>20.91864</v>
      </c>
      <c r="H68" s="1675">
        <v>21.04</v>
      </c>
      <c r="I68" s="1142">
        <v>21.04</v>
      </c>
      <c r="J68" s="1301">
        <v>21.04</v>
      </c>
      <c r="K68" s="1301">
        <v>21.04</v>
      </c>
      <c r="L68" s="1301">
        <v>21.04</v>
      </c>
      <c r="M68" s="1301">
        <v>21.04</v>
      </c>
      <c r="N68" s="1715"/>
      <c r="P68" s="1685"/>
      <c r="Q68" s="1687"/>
      <c r="R68" s="1687"/>
      <c r="S68" s="1687"/>
      <c r="T68" s="1687"/>
      <c r="U68" s="1687"/>
      <c r="V68" s="1687"/>
      <c r="W68" s="1687"/>
      <c r="X68" s="1687"/>
      <c r="Y68" s="1687"/>
      <c r="Z68" s="1687"/>
      <c r="AA68" s="1687"/>
      <c r="AB68" s="1687"/>
    </row>
    <row r="69" spans="3:28" ht="20.25" customHeight="1">
      <c r="C69" s="1111"/>
      <c r="D69" s="1518"/>
      <c r="E69" s="1519" t="s">
        <v>61</v>
      </c>
      <c r="F69" s="1141" t="s">
        <v>1527</v>
      </c>
      <c r="G69" s="1142">
        <v>51.75249719040001</v>
      </c>
      <c r="H69" s="1675">
        <v>70.7</v>
      </c>
      <c r="I69" s="1142" t="s">
        <v>5</v>
      </c>
      <c r="J69" s="1301" t="s">
        <v>5</v>
      </c>
      <c r="K69" s="1142" t="s">
        <v>5</v>
      </c>
      <c r="L69" s="1142" t="s">
        <v>5</v>
      </c>
      <c r="M69" s="1142" t="s">
        <v>5</v>
      </c>
      <c r="N69" s="1715"/>
      <c r="O69" s="1684"/>
      <c r="P69" s="1685"/>
      <c r="Q69" s="1687"/>
      <c r="R69" s="1687"/>
      <c r="S69" s="1687"/>
      <c r="T69" s="1687"/>
      <c r="U69" s="1687"/>
      <c r="V69" s="1687"/>
      <c r="W69" s="1687"/>
      <c r="X69" s="1687"/>
      <c r="Y69" s="1687"/>
      <c r="Z69" s="1687"/>
      <c r="AA69" s="1687"/>
      <c r="AB69" s="1687"/>
    </row>
    <row r="70" spans="3:28" ht="27.75" customHeight="1">
      <c r="C70" s="1111"/>
      <c r="D70" s="1520" t="s">
        <v>1264</v>
      </c>
      <c r="E70" s="1519" t="s">
        <v>62</v>
      </c>
      <c r="F70" s="1143" t="s">
        <v>1527</v>
      </c>
      <c r="G70" s="1144">
        <v>276.2739037205137</v>
      </c>
      <c r="H70" s="1676">
        <v>402.27</v>
      </c>
      <c r="I70" s="1144">
        <v>376.252184318976</v>
      </c>
      <c r="J70" s="1278">
        <v>388.8792076247209</v>
      </c>
      <c r="K70" s="1144">
        <v>401.545003417058</v>
      </c>
      <c r="L70" s="1144">
        <v>414.6233241783516</v>
      </c>
      <c r="M70" s="1144">
        <v>428.1276058468405</v>
      </c>
      <c r="N70" s="1716"/>
      <c r="O70" s="1902"/>
      <c r="P70" s="1903"/>
      <c r="Q70" s="1903"/>
      <c r="R70" s="1687"/>
      <c r="S70" s="1687"/>
      <c r="T70" s="1687"/>
      <c r="U70" s="1687"/>
      <c r="V70" s="1687"/>
      <c r="W70" s="1687"/>
      <c r="X70" s="1687"/>
      <c r="Y70" s="1687"/>
      <c r="Z70" s="1687"/>
      <c r="AA70" s="1687"/>
      <c r="AB70" s="1687"/>
    </row>
    <row r="71" spans="3:28" ht="21.75" customHeight="1">
      <c r="C71" s="1111"/>
      <c r="D71" s="1518" t="s">
        <v>1265</v>
      </c>
      <c r="E71" s="1135" t="s">
        <v>63</v>
      </c>
      <c r="F71" s="1141" t="s">
        <v>1527</v>
      </c>
      <c r="G71" s="1142">
        <v>426.97609070858357</v>
      </c>
      <c r="H71" s="1675">
        <v>455.53</v>
      </c>
      <c r="I71" s="1142">
        <v>121.93177449999999</v>
      </c>
      <c r="J71" s="1142">
        <v>202.37</v>
      </c>
      <c r="K71" s="1142">
        <v>154.51</v>
      </c>
      <c r="L71" s="1142">
        <v>133.9950866220949</v>
      </c>
      <c r="M71" s="1142">
        <v>139.41303861349587</v>
      </c>
      <c r="N71" s="1717"/>
      <c r="O71" s="1684"/>
      <c r="P71" s="1685"/>
      <c r="Q71" s="1687"/>
      <c r="R71" s="1687"/>
      <c r="S71" s="1687"/>
      <c r="T71" s="1687"/>
      <c r="U71" s="1687"/>
      <c r="V71" s="1687"/>
      <c r="W71" s="1687"/>
      <c r="X71" s="1687"/>
      <c r="Y71" s="1687"/>
      <c r="Z71" s="1687"/>
      <c r="AA71" s="1687"/>
      <c r="AB71" s="1687"/>
    </row>
    <row r="72" spans="3:28" ht="23.25" customHeight="1">
      <c r="C72" s="1111"/>
      <c r="D72" s="1518" t="s">
        <v>64</v>
      </c>
      <c r="E72" s="1521" t="s">
        <v>65</v>
      </c>
      <c r="F72" s="1141" t="s">
        <v>1527</v>
      </c>
      <c r="G72" s="1142">
        <v>29.3264476</v>
      </c>
      <c r="H72" s="1675">
        <v>35.05</v>
      </c>
      <c r="I72" s="1142">
        <v>29.3264476</v>
      </c>
      <c r="J72" s="1295">
        <v>30.6168112944</v>
      </c>
      <c r="K72" s="1295">
        <v>31.963950991353602</v>
      </c>
      <c r="L72" s="1295">
        <v>33.37036483497316</v>
      </c>
      <c r="M72" s="1295">
        <v>34.83866088771198</v>
      </c>
      <c r="N72" s="1717"/>
      <c r="O72" s="1684"/>
      <c r="P72" s="1685"/>
      <c r="Q72" s="1687"/>
      <c r="R72" s="1687"/>
      <c r="S72" s="1687"/>
      <c r="T72" s="1687"/>
      <c r="U72" s="1687"/>
      <c r="V72" s="1687"/>
      <c r="W72" s="1687"/>
      <c r="X72" s="1687"/>
      <c r="Y72" s="1687"/>
      <c r="Z72" s="1687"/>
      <c r="AA72" s="1687"/>
      <c r="AB72" s="1687"/>
    </row>
    <row r="73" spans="3:28" ht="35.25" customHeight="1">
      <c r="C73" s="1111"/>
      <c r="D73" s="1518" t="s">
        <v>66</v>
      </c>
      <c r="E73" s="1135" t="s">
        <v>684</v>
      </c>
      <c r="F73" s="1141" t="s">
        <v>1527</v>
      </c>
      <c r="G73" s="1142">
        <v>6.05637648</v>
      </c>
      <c r="H73" s="1675">
        <v>5.1</v>
      </c>
      <c r="I73" s="1142">
        <v>5.1</v>
      </c>
      <c r="J73" s="1295">
        <v>5.3244</v>
      </c>
      <c r="K73" s="1295">
        <v>5.5586736</v>
      </c>
      <c r="L73" s="1295">
        <v>5.8032552384</v>
      </c>
      <c r="M73" s="1295">
        <v>6.058598468889601</v>
      </c>
      <c r="N73" s="1715"/>
      <c r="O73" s="1684"/>
      <c r="P73" s="1685"/>
      <c r="Q73" s="1687"/>
      <c r="R73" s="1687"/>
      <c r="S73" s="1687"/>
      <c r="T73" s="1687"/>
      <c r="U73" s="1687"/>
      <c r="V73" s="1687"/>
      <c r="W73" s="1687"/>
      <c r="X73" s="1687"/>
      <c r="Y73" s="1687"/>
      <c r="Z73" s="1687"/>
      <c r="AA73" s="1687"/>
      <c r="AB73" s="1687"/>
    </row>
    <row r="74" spans="3:28" ht="24.75" customHeight="1">
      <c r="C74" s="1111"/>
      <c r="D74" s="1518" t="s">
        <v>68</v>
      </c>
      <c r="E74" s="1135" t="s">
        <v>677</v>
      </c>
      <c r="F74" s="1141" t="s">
        <v>1527</v>
      </c>
      <c r="G74" s="1145"/>
      <c r="H74" s="1173">
        <v>5.2</v>
      </c>
      <c r="I74" s="1142"/>
      <c r="J74" s="1469">
        <v>5.2</v>
      </c>
      <c r="K74" s="1142">
        <v>2</v>
      </c>
      <c r="L74" s="1142">
        <v>2</v>
      </c>
      <c r="M74" s="1142"/>
      <c r="N74" s="1715"/>
      <c r="O74" s="1684"/>
      <c r="P74" s="1685"/>
      <c r="Q74" s="1687"/>
      <c r="R74" s="1687"/>
      <c r="S74" s="1687"/>
      <c r="T74" s="1687"/>
      <c r="U74" s="1687"/>
      <c r="V74" s="1687"/>
      <c r="W74" s="1687"/>
      <c r="X74" s="1687"/>
      <c r="Y74" s="1687"/>
      <c r="Z74" s="1687"/>
      <c r="AA74" s="1687"/>
      <c r="AB74" s="1687"/>
    </row>
    <row r="75" spans="3:28" ht="24.75" customHeight="1">
      <c r="C75" s="1111"/>
      <c r="D75" s="1518" t="s">
        <v>69</v>
      </c>
      <c r="E75" s="1135" t="s">
        <v>70</v>
      </c>
      <c r="F75" s="1141" t="s">
        <v>1527</v>
      </c>
      <c r="G75" s="1142"/>
      <c r="H75" s="1675"/>
      <c r="I75" s="1142"/>
      <c r="J75" s="1295"/>
      <c r="K75" s="1142"/>
      <c r="L75" s="1142"/>
      <c r="M75" s="1142"/>
      <c r="N75" s="1715"/>
      <c r="O75" s="1684"/>
      <c r="P75" s="1685"/>
      <c r="Q75" s="1687"/>
      <c r="R75" s="1687"/>
      <c r="S75" s="1687"/>
      <c r="T75" s="1687"/>
      <c r="U75" s="1687"/>
      <c r="V75" s="1687"/>
      <c r="W75" s="1687"/>
      <c r="X75" s="1687"/>
      <c r="Y75" s="1687"/>
      <c r="Z75" s="1687"/>
      <c r="AA75" s="1687"/>
      <c r="AB75" s="1687"/>
    </row>
    <row r="76" spans="3:28" ht="20.25" customHeight="1">
      <c r="C76" s="1111"/>
      <c r="D76" s="1518" t="s">
        <v>71</v>
      </c>
      <c r="E76" s="1135" t="s">
        <v>72</v>
      </c>
      <c r="F76" s="1141" t="s">
        <v>1527</v>
      </c>
      <c r="G76" s="1142">
        <v>57.754237288135606</v>
      </c>
      <c r="H76" s="1675">
        <v>280</v>
      </c>
      <c r="I76" s="1142"/>
      <c r="J76" s="1468">
        <v>115</v>
      </c>
      <c r="K76" s="1142">
        <v>115</v>
      </c>
      <c r="L76" s="1142"/>
      <c r="M76" s="1142"/>
      <c r="N76" s="1715"/>
      <c r="O76" s="1684"/>
      <c r="P76" s="1685">
        <f>1160+290</f>
        <v>1450</v>
      </c>
      <c r="Q76" s="1687"/>
      <c r="R76" s="1687"/>
      <c r="S76" s="1687"/>
      <c r="T76" s="1687"/>
      <c r="U76" s="1687"/>
      <c r="V76" s="1687"/>
      <c r="W76" s="1687"/>
      <c r="X76" s="1687"/>
      <c r="Y76" s="1687"/>
      <c r="Z76" s="1687"/>
      <c r="AA76" s="1687"/>
      <c r="AB76" s="1687"/>
    </row>
    <row r="77" spans="3:28" ht="19.5" customHeight="1">
      <c r="C77" s="1111"/>
      <c r="D77" s="1518" t="s">
        <v>73</v>
      </c>
      <c r="E77" s="1135" t="s">
        <v>74</v>
      </c>
      <c r="F77" s="1141" t="s">
        <v>1527</v>
      </c>
      <c r="G77" s="1142"/>
      <c r="H77" s="1675"/>
      <c r="I77" s="1142"/>
      <c r="J77" s="1295"/>
      <c r="K77" s="1142"/>
      <c r="L77" s="1142"/>
      <c r="M77" s="1142"/>
      <c r="N77" s="1715"/>
      <c r="O77" s="1684"/>
      <c r="P77" s="1685"/>
      <c r="Q77" s="1687"/>
      <c r="R77" s="1687"/>
      <c r="S77" s="1687"/>
      <c r="T77" s="1687"/>
      <c r="U77" s="1687"/>
      <c r="V77" s="1687"/>
      <c r="W77" s="1687"/>
      <c r="X77" s="1687"/>
      <c r="Y77" s="1687"/>
      <c r="Z77" s="1687"/>
      <c r="AA77" s="1687"/>
      <c r="AB77" s="1687"/>
    </row>
    <row r="78" spans="3:28" ht="21" customHeight="1">
      <c r="C78" s="1111"/>
      <c r="D78" s="1518" t="s">
        <v>75</v>
      </c>
      <c r="E78" s="1135"/>
      <c r="F78" s="1141"/>
      <c r="G78" s="1142"/>
      <c r="H78" s="1675"/>
      <c r="I78" s="1142"/>
      <c r="J78" s="1295"/>
      <c r="K78" s="1142"/>
      <c r="L78" s="1142"/>
      <c r="M78" s="1142"/>
      <c r="N78" s="1715"/>
      <c r="O78" s="1684"/>
      <c r="P78" s="1685"/>
      <c r="Q78" s="1687"/>
      <c r="R78" s="1687"/>
      <c r="S78" s="1687"/>
      <c r="T78" s="1687"/>
      <c r="U78" s="1687"/>
      <c r="V78" s="1687"/>
      <c r="W78" s="1687"/>
      <c r="X78" s="1687"/>
      <c r="Y78" s="1687"/>
      <c r="Z78" s="1687"/>
      <c r="AA78" s="1687"/>
      <c r="AB78" s="1687"/>
    </row>
    <row r="79" spans="3:28" ht="23.25" customHeight="1">
      <c r="C79" s="1111"/>
      <c r="D79" s="1203" t="s">
        <v>76</v>
      </c>
      <c r="E79" s="1135" t="s">
        <v>77</v>
      </c>
      <c r="F79" s="1141" t="s">
        <v>1527</v>
      </c>
      <c r="G79" s="1142">
        <v>95.366602745568</v>
      </c>
      <c r="H79" s="1677"/>
      <c r="I79" s="1142"/>
      <c r="J79" s="1295"/>
      <c r="K79" s="1295"/>
      <c r="L79" s="1295"/>
      <c r="M79" s="1295"/>
      <c r="N79" s="1717"/>
      <c r="O79" s="1684"/>
      <c r="P79" s="1685"/>
      <c r="Q79" s="1687"/>
      <c r="R79" s="1687"/>
      <c r="S79" s="1687"/>
      <c r="T79" s="1687"/>
      <c r="U79" s="1687"/>
      <c r="V79" s="1687"/>
      <c r="W79" s="1687"/>
      <c r="X79" s="1687"/>
      <c r="Y79" s="1687"/>
      <c r="Z79" s="1687"/>
      <c r="AA79" s="1687"/>
      <c r="AB79" s="1687"/>
    </row>
    <row r="80" spans="3:28" ht="15.75">
      <c r="C80" s="1111"/>
      <c r="D80" s="1203"/>
      <c r="E80" s="1146"/>
      <c r="F80" s="1147"/>
      <c r="G80" s="1145"/>
      <c r="H80" s="1173"/>
      <c r="I80" s="1145"/>
      <c r="J80" s="1279"/>
      <c r="K80" s="1145"/>
      <c r="L80" s="1145"/>
      <c r="M80" s="1145"/>
      <c r="N80" s="1718"/>
      <c r="O80" s="1684"/>
      <c r="P80" s="1685"/>
      <c r="Q80" s="1687"/>
      <c r="R80" s="1687"/>
      <c r="S80" s="1687"/>
      <c r="T80" s="1687"/>
      <c r="U80" s="1687"/>
      <c r="V80" s="1687"/>
      <c r="W80" s="1687"/>
      <c r="X80" s="1687"/>
      <c r="Y80" s="1687"/>
      <c r="Z80" s="1687"/>
      <c r="AA80" s="1687"/>
      <c r="AB80" s="1687"/>
    </row>
    <row r="81" spans="3:28" ht="20.25" customHeight="1">
      <c r="C81" s="1111"/>
      <c r="D81" s="1520" t="s">
        <v>78</v>
      </c>
      <c r="E81" s="1138" t="s">
        <v>79</v>
      </c>
      <c r="F81" s="1143" t="s">
        <v>1527</v>
      </c>
      <c r="G81" s="1148">
        <v>71.18422659488</v>
      </c>
      <c r="H81" s="1148">
        <v>180.63</v>
      </c>
      <c r="I81" s="1148">
        <v>87.50532689999999</v>
      </c>
      <c r="J81" s="1278">
        <v>161.23</v>
      </c>
      <c r="K81" s="1278">
        <v>108.2</v>
      </c>
      <c r="L81" s="1278">
        <v>94.82146654872176</v>
      </c>
      <c r="M81" s="1278">
        <v>98.51577925689429</v>
      </c>
      <c r="N81" s="1719"/>
      <c r="O81" s="1684"/>
      <c r="P81" s="1685"/>
      <c r="Q81" s="1687"/>
      <c r="R81" s="1687"/>
      <c r="S81" s="1687"/>
      <c r="T81" s="1687"/>
      <c r="U81" s="1687"/>
      <c r="V81" s="1687"/>
      <c r="W81" s="1687"/>
      <c r="X81" s="1687"/>
      <c r="Y81" s="1687"/>
      <c r="Z81" s="1687"/>
      <c r="AA81" s="1687"/>
      <c r="AB81" s="1687"/>
    </row>
    <row r="82" spans="3:28" ht="18.75" customHeight="1">
      <c r="C82" s="1111"/>
      <c r="D82" s="1520" t="s">
        <v>80</v>
      </c>
      <c r="E82" s="1522" t="s">
        <v>81</v>
      </c>
      <c r="F82" s="1143" t="s">
        <v>1527</v>
      </c>
      <c r="G82" s="1149">
        <v>19.2876222</v>
      </c>
      <c r="H82" s="1678">
        <v>69.38</v>
      </c>
      <c r="I82" s="1149">
        <v>69.38</v>
      </c>
      <c r="J82" s="1301">
        <v>72.43272</v>
      </c>
      <c r="K82" s="1301">
        <v>90.026</v>
      </c>
      <c r="L82" s="1301">
        <v>78.94702910592001</v>
      </c>
      <c r="M82" s="1301">
        <v>82.4206983865805</v>
      </c>
      <c r="N82" s="1717"/>
      <c r="O82" s="1684"/>
      <c r="P82" s="1685"/>
      <c r="Q82" s="1687"/>
      <c r="R82" s="1687"/>
      <c r="S82" s="1687"/>
      <c r="T82" s="1687"/>
      <c r="U82" s="1687"/>
      <c r="V82" s="1687"/>
      <c r="W82" s="1687"/>
      <c r="X82" s="1687"/>
      <c r="Y82" s="1687"/>
      <c r="Z82" s="1687"/>
      <c r="AA82" s="1687"/>
      <c r="AB82" s="1687"/>
    </row>
    <row r="83" spans="3:28" ht="23.25" customHeight="1">
      <c r="C83" s="1111"/>
      <c r="D83" s="1520" t="s">
        <v>82</v>
      </c>
      <c r="E83" s="1522" t="s">
        <v>83</v>
      </c>
      <c r="F83" s="1141" t="s">
        <v>1527</v>
      </c>
      <c r="G83" s="1149"/>
      <c r="H83" s="1678"/>
      <c r="I83" s="1149">
        <v>2.8778269</v>
      </c>
      <c r="J83" s="1280"/>
      <c r="K83" s="1149"/>
      <c r="L83" s="1149"/>
      <c r="M83" s="1149"/>
      <c r="N83" s="1720"/>
      <c r="O83" s="1684"/>
      <c r="P83" s="1685"/>
      <c r="Q83" s="1687"/>
      <c r="R83" s="1687"/>
      <c r="S83" s="1687"/>
      <c r="T83" s="1687"/>
      <c r="U83" s="1687"/>
      <c r="V83" s="1687"/>
      <c r="W83" s="1687"/>
      <c r="X83" s="1687"/>
      <c r="Y83" s="1687"/>
      <c r="Z83" s="1687"/>
      <c r="AA83" s="1687"/>
      <c r="AB83" s="1687"/>
    </row>
    <row r="84" spans="3:28" ht="18.75" customHeight="1">
      <c r="C84" s="1111"/>
      <c r="D84" s="1520" t="s">
        <v>84</v>
      </c>
      <c r="E84" s="1522" t="s">
        <v>85</v>
      </c>
      <c r="F84" s="1143" t="s">
        <v>1527</v>
      </c>
      <c r="G84" s="1149">
        <v>47.684419999999996</v>
      </c>
      <c r="H84" s="1678">
        <v>9.1</v>
      </c>
      <c r="I84" s="1149">
        <v>9.1</v>
      </c>
      <c r="J84" s="1149">
        <v>9.1</v>
      </c>
      <c r="K84" s="1173">
        <v>9.1</v>
      </c>
      <c r="L84" s="1173">
        <v>9.1</v>
      </c>
      <c r="M84" s="1173">
        <v>9.1</v>
      </c>
      <c r="N84" s="1721"/>
      <c r="O84" s="1684"/>
      <c r="P84" s="1685"/>
      <c r="Q84" s="1687"/>
      <c r="R84" s="1687"/>
      <c r="S84" s="1687"/>
      <c r="T84" s="1687"/>
      <c r="U84" s="1687"/>
      <c r="V84" s="1687"/>
      <c r="W84" s="1687"/>
      <c r="X84" s="1687"/>
      <c r="Y84" s="1687"/>
      <c r="Z84" s="1687"/>
      <c r="AA84" s="1687"/>
      <c r="AB84" s="1687"/>
    </row>
    <row r="85" spans="3:28" ht="23.25" customHeight="1">
      <c r="C85" s="1111"/>
      <c r="D85" s="1520" t="s">
        <v>86</v>
      </c>
      <c r="E85" s="1523" t="s">
        <v>87</v>
      </c>
      <c r="F85" s="1143" t="s">
        <v>1527</v>
      </c>
      <c r="G85" s="1149">
        <v>4.212184394880001</v>
      </c>
      <c r="H85" s="1678">
        <v>51.7</v>
      </c>
      <c r="I85" s="1149">
        <v>6.1475</v>
      </c>
      <c r="J85" s="1149">
        <v>51.7</v>
      </c>
      <c r="K85" s="1149">
        <v>6.5607536949570004</v>
      </c>
      <c r="L85" s="1149">
        <v>6.77443744280175</v>
      </c>
      <c r="M85" s="1149">
        <v>6.995080870313803</v>
      </c>
      <c r="N85" s="1720"/>
      <c r="O85" s="1684"/>
      <c r="P85" s="1685"/>
      <c r="Q85" s="1687"/>
      <c r="R85" s="1687"/>
      <c r="S85" s="1687"/>
      <c r="T85" s="1687"/>
      <c r="U85" s="1687"/>
      <c r="V85" s="1687"/>
      <c r="W85" s="1687"/>
      <c r="X85" s="1687"/>
      <c r="Y85" s="1687"/>
      <c r="Z85" s="1687"/>
      <c r="AA85" s="1687"/>
      <c r="AB85" s="1687"/>
    </row>
    <row r="86" spans="3:28" ht="23.25" customHeight="1">
      <c r="C86" s="1111"/>
      <c r="D86" s="1520" t="s">
        <v>682</v>
      </c>
      <c r="E86" s="1523" t="s">
        <v>683</v>
      </c>
      <c r="F86" s="1143" t="s">
        <v>1527</v>
      </c>
      <c r="G86" s="1149"/>
      <c r="H86" s="1678">
        <v>50.45</v>
      </c>
      <c r="I86" s="1149"/>
      <c r="J86" s="1280"/>
      <c r="K86" s="1149"/>
      <c r="L86" s="1149"/>
      <c r="M86" s="1149"/>
      <c r="N86" s="1720"/>
      <c r="O86" s="1684"/>
      <c r="P86" s="1685"/>
      <c r="Q86" s="1687"/>
      <c r="R86" s="1687"/>
      <c r="S86" s="1687"/>
      <c r="T86" s="1687"/>
      <c r="U86" s="1687"/>
      <c r="V86" s="1687"/>
      <c r="W86" s="1687"/>
      <c r="X86" s="1687"/>
      <c r="Y86" s="1687"/>
      <c r="Z86" s="1687"/>
      <c r="AA86" s="1687"/>
      <c r="AB86" s="1687"/>
    </row>
    <row r="87" spans="3:28" ht="18.75" customHeight="1">
      <c r="C87" s="1111"/>
      <c r="D87" s="1520" t="s">
        <v>88</v>
      </c>
      <c r="E87" s="1604" t="s">
        <v>89</v>
      </c>
      <c r="F87" s="1147"/>
      <c r="G87" s="1142">
        <v>167.2882</v>
      </c>
      <c r="H87" s="1173"/>
      <c r="I87" s="1145"/>
      <c r="J87" s="1279"/>
      <c r="K87" s="1142"/>
      <c r="L87" s="1142"/>
      <c r="M87" s="1142"/>
      <c r="N87" s="1715"/>
      <c r="O87" s="1684"/>
      <c r="P87" s="1685"/>
      <c r="Q87" s="1687"/>
      <c r="R87" s="1687"/>
      <c r="S87" s="1687"/>
      <c r="T87" s="1687"/>
      <c r="U87" s="1687"/>
      <c r="V87" s="1687"/>
      <c r="W87" s="1687"/>
      <c r="X87" s="1687"/>
      <c r="Y87" s="1687"/>
      <c r="Z87" s="1687"/>
      <c r="AA87" s="1687"/>
      <c r="AB87" s="1687"/>
    </row>
    <row r="88" spans="3:28" ht="22.5" customHeight="1">
      <c r="C88" s="1111"/>
      <c r="D88" s="1515" t="s">
        <v>90</v>
      </c>
      <c r="E88" s="1135" t="s">
        <v>679</v>
      </c>
      <c r="F88" s="1143" t="s">
        <v>1527</v>
      </c>
      <c r="G88" s="1524"/>
      <c r="H88" s="1679"/>
      <c r="I88" s="1524"/>
      <c r="J88" s="1525"/>
      <c r="K88" s="1524"/>
      <c r="L88" s="1524"/>
      <c r="M88" s="1524"/>
      <c r="N88" s="1722"/>
      <c r="O88" s="1684"/>
      <c r="P88" s="1685"/>
      <c r="Q88" s="1687"/>
      <c r="R88" s="1687"/>
      <c r="S88" s="1687"/>
      <c r="T88" s="1687"/>
      <c r="U88" s="1687"/>
      <c r="V88" s="1687"/>
      <c r="W88" s="1687"/>
      <c r="X88" s="1687"/>
      <c r="Y88" s="1687"/>
      <c r="Z88" s="1687"/>
      <c r="AA88" s="1687"/>
      <c r="AB88" s="1687"/>
    </row>
    <row r="89" spans="3:28" ht="28.5" customHeight="1">
      <c r="C89" s="1111"/>
      <c r="D89" s="1526"/>
      <c r="E89" s="1133" t="s">
        <v>92</v>
      </c>
      <c r="F89" s="1220" t="s">
        <v>1527</v>
      </c>
      <c r="G89" s="1527">
        <v>775.9211316194973</v>
      </c>
      <c r="H89" s="1527">
        <v>949.54</v>
      </c>
      <c r="I89" s="1527">
        <v>519.223958818976</v>
      </c>
      <c r="J89" s="1527">
        <v>612.29</v>
      </c>
      <c r="K89" s="1527">
        <v>685.3</v>
      </c>
      <c r="L89" s="1527">
        <v>569.6584108004465</v>
      </c>
      <c r="M89" s="1527">
        <v>588.5806444603363</v>
      </c>
      <c r="N89" s="1723"/>
      <c r="O89" s="1684"/>
      <c r="P89" s="1685"/>
      <c r="Q89" s="1687"/>
      <c r="R89" s="1687"/>
      <c r="S89" s="1687"/>
      <c r="T89" s="1687"/>
      <c r="U89" s="1687"/>
      <c r="V89" s="1687"/>
      <c r="W89" s="1687"/>
      <c r="X89" s="1687"/>
      <c r="Y89" s="1687"/>
      <c r="Z89" s="1687"/>
      <c r="AA89" s="1687"/>
      <c r="AB89" s="1687"/>
    </row>
    <row r="90" spans="3:28" ht="15">
      <c r="C90" s="1111"/>
      <c r="D90" s="1139"/>
      <c r="E90" s="1139"/>
      <c r="F90" s="1139"/>
      <c r="G90" s="1212"/>
      <c r="H90" s="1212"/>
      <c r="I90" s="1212"/>
      <c r="J90" s="1212"/>
      <c r="K90" s="1212"/>
      <c r="L90" s="1212"/>
      <c r="M90" s="1212"/>
      <c r="N90" s="1714"/>
      <c r="O90" s="1684"/>
      <c r="P90" s="1685"/>
      <c r="Q90" s="1687"/>
      <c r="R90" s="1687"/>
      <c r="S90" s="1687"/>
      <c r="T90" s="1687"/>
      <c r="U90" s="1687"/>
      <c r="V90" s="1687"/>
      <c r="W90" s="1687"/>
      <c r="X90" s="1687"/>
      <c r="Y90" s="1687"/>
      <c r="Z90" s="1687"/>
      <c r="AA90" s="1687"/>
      <c r="AB90" s="1687"/>
    </row>
    <row r="91" spans="3:28" ht="30" hidden="1" thickBot="1">
      <c r="C91" s="1111"/>
      <c r="D91" s="1581"/>
      <c r="E91" s="1582" t="s">
        <v>675</v>
      </c>
      <c r="F91" s="1583"/>
      <c r="G91" s="1584">
        <v>1907.25817902173</v>
      </c>
      <c r="H91" s="1584">
        <v>4333.769</v>
      </c>
      <c r="I91" s="1584">
        <v>2202.7339533104687</v>
      </c>
      <c r="J91" s="1584">
        <v>2273.7555389257486</v>
      </c>
      <c r="K91" s="1584">
        <v>2348.068811063255</v>
      </c>
      <c r="L91" s="1584">
        <v>2424.856969891807</v>
      </c>
      <c r="M91" s="1585">
        <v>2504.203020621302</v>
      </c>
      <c r="N91" s="1699"/>
      <c r="O91" s="1684"/>
      <c r="P91" s="1685"/>
      <c r="Q91" s="1687"/>
      <c r="R91" s="1687"/>
      <c r="S91" s="1687"/>
      <c r="T91" s="1687"/>
      <c r="U91" s="1687"/>
      <c r="V91" s="1687"/>
      <c r="W91" s="1687"/>
      <c r="X91" s="1687"/>
      <c r="Y91" s="1687"/>
      <c r="Z91" s="1687"/>
      <c r="AA91" s="1687"/>
      <c r="AB91" s="1687"/>
    </row>
    <row r="92" spans="3:28" ht="15">
      <c r="C92" s="1111"/>
      <c r="D92" s="1895"/>
      <c r="E92" s="1895"/>
      <c r="F92" s="1895"/>
      <c r="G92" s="1292"/>
      <c r="H92" s="1294"/>
      <c r="I92" s="1296"/>
      <c r="J92" s="1297"/>
      <c r="K92" s="1120"/>
      <c r="L92" s="1120"/>
      <c r="M92" s="1120"/>
      <c r="N92" s="1699"/>
      <c r="O92" s="1684"/>
      <c r="P92" s="1685"/>
      <c r="Q92" s="1687"/>
      <c r="R92" s="1687"/>
      <c r="S92" s="1687"/>
      <c r="T92" s="1687"/>
      <c r="U92" s="1687"/>
      <c r="V92" s="1687"/>
      <c r="W92" s="1687"/>
      <c r="X92" s="1687"/>
      <c r="Y92" s="1687"/>
      <c r="Z92" s="1687"/>
      <c r="AA92" s="1687"/>
      <c r="AB92" s="1687"/>
    </row>
    <row r="93" spans="3:28" ht="15">
      <c r="C93" s="1111"/>
      <c r="D93" s="1288"/>
      <c r="E93" s="1288"/>
      <c r="F93" s="1288"/>
      <c r="G93" s="1292"/>
      <c r="H93" s="1294"/>
      <c r="I93" s="1682">
        <v>1.15492174973411</v>
      </c>
      <c r="J93" s="1297"/>
      <c r="K93" s="1120"/>
      <c r="L93" s="1120"/>
      <c r="M93" s="1120"/>
      <c r="N93" s="1699"/>
      <c r="O93" s="1684"/>
      <c r="P93" s="1685"/>
      <c r="Q93" s="1687"/>
      <c r="R93" s="1687"/>
      <c r="S93" s="1687"/>
      <c r="T93" s="1687"/>
      <c r="U93" s="1687"/>
      <c r="V93" s="1687"/>
      <c r="W93" s="1687"/>
      <c r="X93" s="1687"/>
      <c r="Y93" s="1687"/>
      <c r="Z93" s="1687"/>
      <c r="AA93" s="1687"/>
      <c r="AB93" s="1687"/>
    </row>
    <row r="94" spans="3:28" ht="15">
      <c r="C94" s="1111"/>
      <c r="D94" s="1285" t="s">
        <v>94</v>
      </c>
      <c r="E94" s="1288"/>
      <c r="F94" s="1288"/>
      <c r="G94" s="1292"/>
      <c r="H94" s="1294"/>
      <c r="I94" s="1682"/>
      <c r="J94" s="1297"/>
      <c r="K94" s="1120"/>
      <c r="L94" s="1120"/>
      <c r="M94" s="1120"/>
      <c r="N94" s="1699"/>
      <c r="O94" s="1684"/>
      <c r="P94" s="1685"/>
      <c r="Q94" s="1687"/>
      <c r="R94" s="1687"/>
      <c r="S94" s="1687"/>
      <c r="T94" s="1687"/>
      <c r="U94" s="1687"/>
      <c r="V94" s="1687"/>
      <c r="W94" s="1687"/>
      <c r="X94" s="1687"/>
      <c r="Y94" s="1687"/>
      <c r="Z94" s="1687"/>
      <c r="AA94" s="1687"/>
      <c r="AB94" s="1687"/>
    </row>
    <row r="95" spans="3:28" ht="15">
      <c r="C95" s="1111"/>
      <c r="D95" s="1288"/>
      <c r="E95" s="1288"/>
      <c r="F95" s="1288"/>
      <c r="G95" s="1293"/>
      <c r="H95" s="124"/>
      <c r="I95" s="1682">
        <v>1.1924744216868273</v>
      </c>
      <c r="J95" s="1297"/>
      <c r="K95" s="1120"/>
      <c r="L95" s="1120"/>
      <c r="M95" s="1120"/>
      <c r="N95" s="1699"/>
      <c r="O95" s="1684"/>
      <c r="P95" s="1685"/>
      <c r="Q95" s="1687"/>
      <c r="R95" s="1687"/>
      <c r="S95" s="1687"/>
      <c r="T95" s="1687"/>
      <c r="U95" s="1687"/>
      <c r="V95" s="1687"/>
      <c r="W95" s="1687"/>
      <c r="X95" s="1687"/>
      <c r="Y95" s="1687"/>
      <c r="Z95" s="1687"/>
      <c r="AA95" s="1687"/>
      <c r="AB95" s="1687"/>
    </row>
    <row r="96" spans="3:28" ht="36" customHeight="1">
      <c r="C96" s="1111"/>
      <c r="D96" s="1502" t="s">
        <v>1</v>
      </c>
      <c r="E96" s="1494" t="s">
        <v>34</v>
      </c>
      <c r="F96" s="1502" t="s">
        <v>3</v>
      </c>
      <c r="G96" s="1494">
        <v>2014</v>
      </c>
      <c r="H96" s="1494" t="s">
        <v>664</v>
      </c>
      <c r="I96" s="1494" t="s">
        <v>635</v>
      </c>
      <c r="J96" s="1502">
        <v>2016</v>
      </c>
      <c r="K96" s="1502">
        <v>2017</v>
      </c>
      <c r="L96" s="1502">
        <v>2018</v>
      </c>
      <c r="M96" s="1502">
        <v>2019</v>
      </c>
      <c r="N96" s="1724"/>
      <c r="O96" s="1684"/>
      <c r="P96" s="1685"/>
      <c r="Q96" s="1687"/>
      <c r="R96" s="1687"/>
      <c r="S96" s="1687"/>
      <c r="T96" s="1687"/>
      <c r="U96" s="1687"/>
      <c r="V96" s="1687"/>
      <c r="W96" s="1687"/>
      <c r="X96" s="1687"/>
      <c r="Y96" s="1687"/>
      <c r="Z96" s="1687"/>
      <c r="AA96" s="1687"/>
      <c r="AB96" s="1687"/>
    </row>
    <row r="97" spans="3:28" ht="45.75" customHeight="1">
      <c r="C97" s="1111"/>
      <c r="D97" s="1502" t="s">
        <v>292</v>
      </c>
      <c r="E97" s="1538" t="s">
        <v>95</v>
      </c>
      <c r="F97" s="1502" t="s">
        <v>237</v>
      </c>
      <c r="G97" s="1529">
        <v>1459.1297863970353</v>
      </c>
      <c r="H97" s="1529">
        <v>4333.769</v>
      </c>
      <c r="I97" s="1539">
        <v>1739.9749481998285</v>
      </c>
      <c r="J97" s="1539">
        <v>2273.7555389257486</v>
      </c>
      <c r="K97" s="1539">
        <v>2876.68</v>
      </c>
      <c r="L97" s="1539">
        <v>2424.856969891807</v>
      </c>
      <c r="M97" s="1539">
        <v>2504.203020621302</v>
      </c>
      <c r="N97" s="1725"/>
      <c r="O97" s="1726"/>
      <c r="P97" s="1685"/>
      <c r="Q97" s="1687"/>
      <c r="R97" s="1687"/>
      <c r="S97" s="1687"/>
      <c r="T97" s="1687"/>
      <c r="U97" s="1687"/>
      <c r="V97" s="1687"/>
      <c r="W97" s="1687"/>
      <c r="X97" s="1687"/>
      <c r="Y97" s="1687"/>
      <c r="Z97" s="1687"/>
      <c r="AA97" s="1687"/>
      <c r="AB97" s="1687"/>
    </row>
    <row r="98" spans="3:28" ht="15">
      <c r="C98" s="1111"/>
      <c r="D98" s="1537" t="s">
        <v>125</v>
      </c>
      <c r="E98" s="1221" t="s">
        <v>96</v>
      </c>
      <c r="F98" s="1537" t="s">
        <v>1527</v>
      </c>
      <c r="G98" s="1215">
        <v>1131.3370474022329</v>
      </c>
      <c r="H98" s="1215">
        <v>3384.229</v>
      </c>
      <c r="I98" s="1216">
        <v>1683.5099944914928</v>
      </c>
      <c r="J98" s="1281">
        <v>2388.756</v>
      </c>
      <c r="K98" s="1216">
        <v>2191.38</v>
      </c>
      <c r="L98" s="1216">
        <v>1855.1985590913603</v>
      </c>
      <c r="M98" s="1216">
        <v>1915.6223761609658</v>
      </c>
      <c r="N98" s="1727"/>
      <c r="P98" s="1728"/>
      <c r="Q98" s="1729"/>
      <c r="R98" s="1687"/>
      <c r="S98" s="1687"/>
      <c r="T98" s="1687"/>
      <c r="U98" s="1687"/>
      <c r="V98" s="1687"/>
      <c r="W98" s="1687"/>
      <c r="X98" s="1687"/>
      <c r="Y98" s="1687"/>
      <c r="Z98" s="1687"/>
      <c r="AA98" s="1687"/>
      <c r="AB98" s="1687"/>
    </row>
    <row r="99" spans="3:28" ht="15">
      <c r="C99" s="1111"/>
      <c r="D99" s="1537" t="s">
        <v>128</v>
      </c>
      <c r="E99" s="1221" t="s">
        <v>97</v>
      </c>
      <c r="F99" s="1537" t="s">
        <v>1527</v>
      </c>
      <c r="G99" s="1215">
        <v>775.9211316194973</v>
      </c>
      <c r="H99" s="1215">
        <v>949.54</v>
      </c>
      <c r="I99" s="1216">
        <v>519.223958818976</v>
      </c>
      <c r="J99" s="1281">
        <v>161.23</v>
      </c>
      <c r="K99" s="1216">
        <v>685.3</v>
      </c>
      <c r="L99" s="1216">
        <v>569.6584108004465</v>
      </c>
      <c r="M99" s="1216">
        <v>588.5806444603363</v>
      </c>
      <c r="N99" s="1727"/>
      <c r="P99" s="1728"/>
      <c r="Q99" s="1729"/>
      <c r="R99" s="1687"/>
      <c r="S99" s="1687"/>
      <c r="T99" s="1687"/>
      <c r="U99" s="1687"/>
      <c r="V99" s="1687"/>
      <c r="W99" s="1687"/>
      <c r="X99" s="1687"/>
      <c r="Y99" s="1687"/>
      <c r="Z99" s="1687"/>
      <c r="AA99" s="1687"/>
      <c r="AB99" s="1687"/>
    </row>
    <row r="100" spans="3:28" ht="15">
      <c r="C100" s="1111"/>
      <c r="D100" s="1537" t="s">
        <v>129</v>
      </c>
      <c r="E100" s="1221" t="s">
        <v>98</v>
      </c>
      <c r="F100" s="1537" t="s">
        <v>1527</v>
      </c>
      <c r="G100" s="1151" t="s">
        <v>5</v>
      </c>
      <c r="H100" s="1151" t="s">
        <v>5</v>
      </c>
      <c r="I100" s="1214" t="s">
        <v>5</v>
      </c>
      <c r="J100" s="1214" t="s">
        <v>5</v>
      </c>
      <c r="K100" s="1214" t="s">
        <v>5</v>
      </c>
      <c r="L100" s="1214" t="s">
        <v>5</v>
      </c>
      <c r="M100" s="1214" t="s">
        <v>5</v>
      </c>
      <c r="N100" s="1730"/>
      <c r="O100" s="1684"/>
      <c r="P100" s="1728"/>
      <c r="Q100" s="1729"/>
      <c r="R100" s="1687"/>
      <c r="S100" s="1687"/>
      <c r="T100" s="1687"/>
      <c r="U100" s="1687"/>
      <c r="V100" s="1687"/>
      <c r="W100" s="1687"/>
      <c r="X100" s="1687"/>
      <c r="Y100" s="1687"/>
      <c r="Z100" s="1687"/>
      <c r="AA100" s="1687"/>
      <c r="AB100" s="1687"/>
    </row>
    <row r="101" spans="3:28" ht="15">
      <c r="C101" s="1111"/>
      <c r="D101" s="1537" t="s">
        <v>130</v>
      </c>
      <c r="E101" s="1540" t="s">
        <v>99</v>
      </c>
      <c r="F101" s="1541" t="s">
        <v>1527</v>
      </c>
      <c r="G101" s="1542">
        <v>-448.1283926246948</v>
      </c>
      <c r="H101" s="1542" t="s">
        <v>5</v>
      </c>
      <c r="I101" s="1528">
        <v>-462.7590051106402</v>
      </c>
      <c r="J101" s="1528">
        <v>0</v>
      </c>
      <c r="K101" s="1528"/>
      <c r="L101" s="1528"/>
      <c r="M101" s="1528"/>
      <c r="N101" s="1731"/>
      <c r="O101" s="1684"/>
      <c r="P101" s="1685"/>
      <c r="Q101" s="1687"/>
      <c r="R101" s="1687"/>
      <c r="S101" s="1687"/>
      <c r="T101" s="1687"/>
      <c r="U101" s="1687"/>
      <c r="V101" s="1687"/>
      <c r="W101" s="1687"/>
      <c r="X101" s="1687"/>
      <c r="Y101" s="1687"/>
      <c r="Z101" s="1687"/>
      <c r="AA101" s="1687"/>
      <c r="AB101" s="1687"/>
    </row>
    <row r="102" spans="3:28" ht="48" customHeight="1">
      <c r="C102" s="1111"/>
      <c r="D102" s="1502" t="s">
        <v>293</v>
      </c>
      <c r="E102" s="1538" t="s">
        <v>100</v>
      </c>
      <c r="F102" s="1502" t="s">
        <v>1527</v>
      </c>
      <c r="G102" s="1529">
        <v>1279.2095242565185</v>
      </c>
      <c r="H102" s="1529"/>
      <c r="I102" s="1529">
        <f>'Коррект по ПО'!F12</f>
        <v>956.3248337911248</v>
      </c>
      <c r="J102" s="1529">
        <f>J103*J105</f>
        <v>2141.7013471471996</v>
      </c>
      <c r="K102" s="1529">
        <f>K103*K105</f>
        <v>2363.7272</v>
      </c>
      <c r="L102" s="1529"/>
      <c r="M102" s="1529"/>
      <c r="N102" s="1732"/>
      <c r="O102" s="1684"/>
      <c r="P102" s="1685"/>
      <c r="Q102" s="1687"/>
      <c r="R102" s="1687"/>
      <c r="S102" s="1687"/>
      <c r="T102" s="1687"/>
      <c r="U102" s="1687"/>
      <c r="V102" s="1687"/>
      <c r="W102" s="1687"/>
      <c r="X102" s="1687"/>
      <c r="Y102" s="1687"/>
      <c r="Z102" s="1687"/>
      <c r="AA102" s="1687"/>
      <c r="AB102" s="1687"/>
    </row>
    <row r="103" spans="3:28" ht="15">
      <c r="C103" s="1111"/>
      <c r="D103" s="1537" t="s">
        <v>230</v>
      </c>
      <c r="E103" s="1221" t="s">
        <v>101</v>
      </c>
      <c r="F103" s="1537" t="s">
        <v>19</v>
      </c>
      <c r="G103" s="1543">
        <v>0.6123</v>
      </c>
      <c r="H103" s="1543"/>
      <c r="I103" s="1530">
        <v>0.84</v>
      </c>
      <c r="J103" s="1543">
        <v>0.84</v>
      </c>
      <c r="K103" s="1530">
        <v>0.86</v>
      </c>
      <c r="L103" s="1530"/>
      <c r="M103" s="1530"/>
      <c r="N103" s="1733"/>
      <c r="O103" s="1684"/>
      <c r="P103" s="1685"/>
      <c r="Q103" s="1687"/>
      <c r="R103" s="1687"/>
      <c r="S103" s="1687"/>
      <c r="T103" s="1687"/>
      <c r="U103" s="1687"/>
      <c r="V103" s="1687"/>
      <c r="W103" s="1687"/>
      <c r="X103" s="1687"/>
      <c r="Y103" s="1687"/>
      <c r="Z103" s="1687"/>
      <c r="AA103" s="1687"/>
      <c r="AB103" s="1687"/>
    </row>
    <row r="104" spans="3:28" ht="15">
      <c r="C104" s="1111"/>
      <c r="D104" s="1537" t="s">
        <v>1262</v>
      </c>
      <c r="E104" s="1221" t="s">
        <v>102</v>
      </c>
      <c r="F104" s="1537" t="s">
        <v>1521</v>
      </c>
      <c r="G104" s="1152">
        <v>0.072</v>
      </c>
      <c r="H104" s="1152"/>
      <c r="I104" s="1213">
        <v>0.08</v>
      </c>
      <c r="J104" s="1213">
        <v>0.13</v>
      </c>
      <c r="K104" s="1213">
        <v>0.072</v>
      </c>
      <c r="L104" s="1213"/>
      <c r="M104" s="1213"/>
      <c r="N104" s="1734"/>
      <c r="O104" s="1687"/>
      <c r="P104" s="1685"/>
      <c r="Q104" s="1687"/>
      <c r="R104" s="1687"/>
      <c r="S104" s="1687"/>
      <c r="T104" s="1687"/>
      <c r="U104" s="1687"/>
      <c r="V104" s="1687"/>
      <c r="W104" s="1687"/>
      <c r="X104" s="1687"/>
      <c r="Y104" s="1687"/>
      <c r="Z104" s="1687"/>
      <c r="AA104" s="1687"/>
      <c r="AB104" s="1687"/>
    </row>
    <row r="105" spans="3:28" ht="22.5" customHeight="1">
      <c r="C105" s="1111"/>
      <c r="D105" s="1537" t="s">
        <v>1263</v>
      </c>
      <c r="E105" s="1544" t="s">
        <v>103</v>
      </c>
      <c r="F105" s="1541" t="s">
        <v>25</v>
      </c>
      <c r="G105" s="1531">
        <v>2089.1875294080005</v>
      </c>
      <c r="H105" s="1680"/>
      <c r="I105" s="1531">
        <f>G105*(1+I104)</f>
        <v>2256.3225317606407</v>
      </c>
      <c r="J105" s="1531">
        <f>I105*(1+J104)</f>
        <v>2549.6444608895235</v>
      </c>
      <c r="K105" s="1531">
        <v>2748.52</v>
      </c>
      <c r="L105" s="1531"/>
      <c r="M105" s="1531"/>
      <c r="N105" s="1730"/>
      <c r="O105" s="1687"/>
      <c r="P105" s="1685"/>
      <c r="Q105" s="1687"/>
      <c r="R105" s="1687"/>
      <c r="S105" s="1687"/>
      <c r="T105" s="1687"/>
      <c r="U105" s="1687"/>
      <c r="V105" s="1687"/>
      <c r="W105" s="1687"/>
      <c r="X105" s="1687"/>
      <c r="Y105" s="1687"/>
      <c r="Z105" s="1687"/>
      <c r="AA105" s="1687"/>
      <c r="AB105" s="1687"/>
    </row>
    <row r="106" spans="3:28" ht="45" customHeight="1">
      <c r="C106" s="1111"/>
      <c r="D106" s="1502" t="s">
        <v>1354</v>
      </c>
      <c r="E106" s="1538" t="s">
        <v>104</v>
      </c>
      <c r="F106" s="1502" t="s">
        <v>237</v>
      </c>
      <c r="G106" s="1529">
        <v>2738.339310653554</v>
      </c>
      <c r="H106" s="1527"/>
      <c r="I106" s="1529">
        <f>I97+I102</f>
        <v>2696.2997819909533</v>
      </c>
      <c r="J106" s="1529">
        <f>J97+J102</f>
        <v>4415.456886072949</v>
      </c>
      <c r="K106" s="1529">
        <f>K97+K102</f>
        <v>5240.4072</v>
      </c>
      <c r="L106" s="1529"/>
      <c r="M106" s="1529"/>
      <c r="N106" s="1732"/>
      <c r="O106" s="1687"/>
      <c r="P106" s="1685"/>
      <c r="Q106" s="1687"/>
      <c r="R106" s="1687"/>
      <c r="S106" s="1687"/>
      <c r="T106" s="1687"/>
      <c r="U106" s="1687"/>
      <c r="V106" s="1687"/>
      <c r="W106" s="1687"/>
      <c r="X106" s="1687"/>
      <c r="Y106" s="1687"/>
      <c r="Z106" s="1687"/>
      <c r="AA106" s="1687"/>
      <c r="AB106" s="1687"/>
    </row>
    <row r="107" spans="3:28" ht="15">
      <c r="C107" s="1111"/>
      <c r="D107" s="1153"/>
      <c r="E107" s="1154"/>
      <c r="F107" s="1153"/>
      <c r="G107" s="1155"/>
      <c r="H107" s="1155"/>
      <c r="I107" s="1156">
        <f>I106/G106</f>
        <v>0.9846478014981397</v>
      </c>
      <c r="J107" s="1156">
        <f>J106/I106</f>
        <v>1.6375986511457439</v>
      </c>
      <c r="K107" s="1156">
        <f>K106/J106</f>
        <v>1.1868323788935806</v>
      </c>
      <c r="L107" s="1156"/>
      <c r="M107" s="1156"/>
      <c r="N107" s="1735"/>
      <c r="O107" s="1736"/>
      <c r="P107" s="1685"/>
      <c r="Q107" s="1687"/>
      <c r="R107" s="1687"/>
      <c r="S107" s="1687"/>
      <c r="T107" s="1687"/>
      <c r="U107" s="1687"/>
      <c r="V107" s="1687"/>
      <c r="W107" s="1687"/>
      <c r="X107" s="1687"/>
      <c r="Y107" s="1687"/>
      <c r="Z107" s="1687"/>
      <c r="AA107" s="1687"/>
      <c r="AB107" s="1687"/>
    </row>
  </sheetData>
  <sheetProtection/>
  <protectedRanges>
    <protectedRange sqref="G8:N8" name="Диапазон1_1_1"/>
  </protectedRanges>
  <mergeCells count="6">
    <mergeCell ref="O70:Q70"/>
    <mergeCell ref="D92:F92"/>
    <mergeCell ref="E4:K4"/>
    <mergeCell ref="D5:K5"/>
    <mergeCell ref="D18:K18"/>
    <mergeCell ref="O33:AB33"/>
  </mergeCells>
  <dataValidations count="1">
    <dataValidation type="decimal" allowBlank="1" showInputMessage="1" showErrorMessage="1" error="Ввведеное значение неверно" sqref="H107 H102:H104 G102:G107 G8:H8 I21:N21 I8:N9 I102:N107 I100:N100">
      <formula1>-1000000000000000</formula1>
      <formula2>1000000000000000</formula2>
    </dataValidation>
  </dataValidations>
  <printOptions/>
  <pageMargins left="0.3" right="0.38" top="0.3" bottom="0.22" header="0.3" footer="0.15"/>
  <pageSetup horizontalDpi="600" verticalDpi="600" orientation="landscape" paperSize="9" scale="70" r:id="rId3"/>
  <rowBreaks count="2" manualBreakCount="2">
    <brk id="34" max="255" man="1"/>
    <brk id="9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7:C13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20.875" style="0" customWidth="1"/>
    <col min="3" max="3" width="11.875" style="0" customWidth="1"/>
  </cols>
  <sheetData>
    <row r="7" ht="12.75">
      <c r="C7" t="s">
        <v>1527</v>
      </c>
    </row>
    <row r="8" spans="2:3" ht="12.75">
      <c r="B8" t="s">
        <v>706</v>
      </c>
      <c r="C8" s="475">
        <v>689310</v>
      </c>
    </row>
    <row r="9" spans="2:3" ht="12.75">
      <c r="B9" t="s">
        <v>707</v>
      </c>
      <c r="C9" s="475">
        <v>564139</v>
      </c>
    </row>
    <row r="10" spans="2:3" ht="12.75">
      <c r="B10" t="s">
        <v>708</v>
      </c>
      <c r="C10" s="475">
        <v>1575.958288824149</v>
      </c>
    </row>
    <row r="11" ht="12.75">
      <c r="C11" s="149">
        <f>C10/C9</f>
        <v>0.0027935638004536983</v>
      </c>
    </row>
    <row r="12" ht="12.75">
      <c r="C12" s="475"/>
    </row>
    <row r="13" ht="12.75">
      <c r="C13" s="47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X29"/>
  <sheetViews>
    <sheetView zoomScalePageLayoutView="0" workbookViewId="0" topLeftCell="A5">
      <selection activeCell="E25" sqref="E25"/>
    </sheetView>
  </sheetViews>
  <sheetFormatPr defaultColWidth="9.00390625" defaultRowHeight="16.5" customHeight="1"/>
  <cols>
    <col min="2" max="2" width="6.625" style="0" customWidth="1"/>
    <col min="3" max="3" width="32.875" style="0" customWidth="1"/>
    <col min="4" max="4" width="13.625" style="0" customWidth="1"/>
    <col min="5" max="6" width="16.625" style="0" customWidth="1"/>
    <col min="7" max="7" width="22.125" style="0" customWidth="1"/>
    <col min="8" max="9" width="11.125" style="0" customWidth="1"/>
    <col min="10" max="10" width="11.25390625" style="0" customWidth="1"/>
    <col min="11" max="11" width="12.375" style="0" customWidth="1"/>
    <col min="12" max="12" width="10.625" style="0" customWidth="1"/>
    <col min="13" max="13" width="10.375" style="0" customWidth="1"/>
    <col min="14" max="14" width="11.125" style="0" bestFit="1" customWidth="1"/>
    <col min="15" max="15" width="10.75390625" style="0" customWidth="1"/>
    <col min="16" max="16" width="10.125" style="0" customWidth="1"/>
    <col min="17" max="17" width="10.375" style="0" customWidth="1"/>
    <col min="18" max="18" width="10.625" style="0" customWidth="1"/>
    <col min="19" max="19" width="10.125" style="0" customWidth="1"/>
    <col min="20" max="20" width="16.625" style="0" customWidth="1"/>
    <col min="22" max="23" width="11.25390625" style="0" customWidth="1"/>
  </cols>
  <sheetData>
    <row r="1" spans="3:4" ht="16.5" customHeight="1">
      <c r="C1" s="1337"/>
      <c r="D1" s="1337"/>
    </row>
    <row r="2" ht="16.5" customHeight="1">
      <c r="C2" s="15" t="s">
        <v>2477</v>
      </c>
    </row>
    <row r="4" ht="16.5" customHeight="1">
      <c r="C4" s="1465" t="s">
        <v>630</v>
      </c>
    </row>
    <row r="6" spans="3:4" ht="16.5" customHeight="1">
      <c r="C6" s="1337" t="s">
        <v>2580</v>
      </c>
      <c r="D6" s="1337"/>
    </row>
    <row r="9" spans="3:4" ht="16.5" customHeight="1">
      <c r="C9" s="1337" t="s">
        <v>2581</v>
      </c>
      <c r="D9" s="1337"/>
    </row>
    <row r="11" spans="3:6" ht="16.5" customHeight="1">
      <c r="C11" s="15"/>
      <c r="D11" s="15"/>
      <c r="E11" s="15"/>
      <c r="F11" s="15"/>
    </row>
    <row r="12" spans="3:6" ht="16.5" customHeight="1">
      <c r="C12" s="15"/>
      <c r="D12" s="15"/>
      <c r="E12" s="15"/>
      <c r="F12" s="15"/>
    </row>
    <row r="13" spans="3:6" ht="16.5" customHeight="1">
      <c r="C13" s="1338"/>
      <c r="D13" s="1338"/>
      <c r="E13" s="1339"/>
      <c r="F13" s="1339"/>
    </row>
    <row r="14" spans="3:11" ht="16.5" customHeight="1">
      <c r="C14" s="15"/>
      <c r="D14" s="15"/>
      <c r="E14" s="1339"/>
      <c r="F14" s="1339"/>
      <c r="K14" t="s">
        <v>2582</v>
      </c>
    </row>
    <row r="15" spans="3:6" ht="16.5" customHeight="1">
      <c r="C15" s="15"/>
      <c r="D15" s="15"/>
      <c r="E15" s="1339"/>
      <c r="F15" s="1339"/>
    </row>
    <row r="16" spans="7:9" ht="16.5" customHeight="1">
      <c r="G16" s="1910" t="s">
        <v>626</v>
      </c>
      <c r="H16" s="1910"/>
      <c r="I16" s="1910"/>
    </row>
    <row r="17" ht="16.5" customHeight="1" thickBot="1">
      <c r="F17" s="15"/>
    </row>
    <row r="18" spans="2:19" ht="30" customHeight="1">
      <c r="B18" s="1462"/>
      <c r="C18" s="1457" t="s">
        <v>2583</v>
      </c>
      <c r="D18" s="1452" t="s">
        <v>1559</v>
      </c>
      <c r="E18" s="1621" t="s">
        <v>623</v>
      </c>
      <c r="F18" s="1617"/>
      <c r="G18" s="1609" t="s">
        <v>702</v>
      </c>
      <c r="H18">
        <v>93.96</v>
      </c>
      <c r="I18">
        <v>93.96</v>
      </c>
      <c r="J18">
        <v>93.96</v>
      </c>
      <c r="K18">
        <v>93.96</v>
      </c>
      <c r="L18">
        <v>93.96</v>
      </c>
      <c r="M18">
        <v>93.96</v>
      </c>
      <c r="N18">
        <v>89.36</v>
      </c>
      <c r="O18">
        <v>89.36</v>
      </c>
      <c r="P18">
        <v>89.36</v>
      </c>
      <c r="Q18">
        <v>89.36</v>
      </c>
      <c r="R18">
        <v>89.36</v>
      </c>
      <c r="S18">
        <v>89.36</v>
      </c>
    </row>
    <row r="19" spans="2:20" ht="25.5" customHeight="1">
      <c r="B19" s="1463">
        <v>1</v>
      </c>
      <c r="C19" s="1458" t="s">
        <v>697</v>
      </c>
      <c r="D19" s="1453" t="s">
        <v>237</v>
      </c>
      <c r="E19" s="1392">
        <f>E20+E21</f>
        <v>1575.958288824149</v>
      </c>
      <c r="F19" s="1618"/>
      <c r="G19" s="1340" t="s">
        <v>2584</v>
      </c>
      <c r="H19" s="1341" t="s">
        <v>1277</v>
      </c>
      <c r="I19" s="1341" t="s">
        <v>2585</v>
      </c>
      <c r="J19" s="1341" t="s">
        <v>2586</v>
      </c>
      <c r="K19" s="1341" t="s">
        <v>2587</v>
      </c>
      <c r="L19" s="1341" t="s">
        <v>2588</v>
      </c>
      <c r="M19" s="1341" t="s">
        <v>2589</v>
      </c>
      <c r="N19" s="1341" t="s">
        <v>2590</v>
      </c>
      <c r="O19" s="1341" t="s">
        <v>2591</v>
      </c>
      <c r="P19" s="1341" t="s">
        <v>2592</v>
      </c>
      <c r="Q19" s="1341" t="s">
        <v>2593</v>
      </c>
      <c r="R19" s="1341" t="s">
        <v>2594</v>
      </c>
      <c r="S19" s="1341" t="s">
        <v>2595</v>
      </c>
      <c r="T19" s="1342" t="s">
        <v>2596</v>
      </c>
    </row>
    <row r="20" spans="2:22" ht="30.75" customHeight="1">
      <c r="B20" s="1463" t="s">
        <v>627</v>
      </c>
      <c r="C20" s="1459" t="s">
        <v>2597</v>
      </c>
      <c r="D20" s="1453" t="s">
        <v>237</v>
      </c>
      <c r="E20" s="1622">
        <f>'НВВ 1'!H83</f>
        <v>1575.958288824149</v>
      </c>
      <c r="F20" s="1619"/>
      <c r="G20" s="1343" t="s">
        <v>2598</v>
      </c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>
        <f aca="true" t="shared" si="0" ref="T20:T27">SUM(H20:S20)</f>
        <v>0</v>
      </c>
      <c r="U20" s="15"/>
      <c r="V20" s="15"/>
    </row>
    <row r="21" spans="2:24" ht="22.5" customHeight="1">
      <c r="B21" s="1463" t="s">
        <v>628</v>
      </c>
      <c r="C21" s="1459" t="s">
        <v>2599</v>
      </c>
      <c r="D21" s="1453" t="s">
        <v>237</v>
      </c>
      <c r="E21" s="1622"/>
      <c r="F21" s="1619"/>
      <c r="G21" s="1345" t="s">
        <v>2600</v>
      </c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>
        <f t="shared" si="0"/>
        <v>0</v>
      </c>
      <c r="U21" s="15"/>
      <c r="V21" s="1346">
        <f>SUM(H21:M21)</f>
        <v>0</v>
      </c>
      <c r="W21" s="1347">
        <f>SUM(N21:S21)</f>
        <v>0</v>
      </c>
      <c r="X21">
        <f>V21+W21</f>
        <v>0</v>
      </c>
    </row>
    <row r="22" spans="2:23" ht="26.25" customHeight="1">
      <c r="B22" s="1463">
        <v>2</v>
      </c>
      <c r="C22" s="1458" t="s">
        <v>698</v>
      </c>
      <c r="D22" s="1453" t="s">
        <v>237</v>
      </c>
      <c r="E22" s="1392">
        <f>T22</f>
        <v>1470648.3000000003</v>
      </c>
      <c r="F22" s="1618"/>
      <c r="G22" s="1348" t="s">
        <v>2601</v>
      </c>
      <c r="H22" s="1351">
        <v>135510.43</v>
      </c>
      <c r="I22" s="1351">
        <v>143722.16</v>
      </c>
      <c r="J22" s="1351">
        <v>145638.94</v>
      </c>
      <c r="K22" s="1351">
        <v>143988.25</v>
      </c>
      <c r="L22" s="1351"/>
      <c r="M22" s="1351">
        <v>134346.26</v>
      </c>
      <c r="N22" s="1351">
        <v>95845.57</v>
      </c>
      <c r="O22" s="1351">
        <v>116750.98</v>
      </c>
      <c r="P22" s="1351">
        <v>147560.88</v>
      </c>
      <c r="Q22" s="1351">
        <v>139076.69</v>
      </c>
      <c r="R22" s="1351">
        <v>128707.35</v>
      </c>
      <c r="S22" s="1351">
        <v>139500.79</v>
      </c>
      <c r="T22" s="1344">
        <f t="shared" si="0"/>
        <v>1470648.3000000003</v>
      </c>
      <c r="U22" s="1349"/>
      <c r="V22" s="1349">
        <v>41.08017811594204</v>
      </c>
      <c r="W22">
        <v>37.519057253568995</v>
      </c>
    </row>
    <row r="23" spans="2:24" ht="31.5" customHeight="1">
      <c r="B23" s="1463">
        <v>3</v>
      </c>
      <c r="C23" s="1460" t="s">
        <v>694</v>
      </c>
      <c r="D23" s="1454" t="s">
        <v>237</v>
      </c>
      <c r="E23" s="1392">
        <f>'Коррект НР'!G21</f>
        <v>-91.04952287947862</v>
      </c>
      <c r="F23" s="1618"/>
      <c r="G23" s="1350" t="s">
        <v>2602</v>
      </c>
      <c r="H23" s="1351">
        <v>1442.214</v>
      </c>
      <c r="I23" s="1351">
        <v>1529.61</v>
      </c>
      <c r="J23" s="1351">
        <v>1550.01</v>
      </c>
      <c r="K23" s="1351">
        <v>1532.442</v>
      </c>
      <c r="L23" s="1351"/>
      <c r="M23" s="1351">
        <v>1429.824</v>
      </c>
      <c r="N23" s="1351">
        <v>1072.578</v>
      </c>
      <c r="O23" s="1351">
        <v>1306.524</v>
      </c>
      <c r="P23" s="1351">
        <v>1651.308</v>
      </c>
      <c r="Q23" s="1351">
        <v>1556.364</v>
      </c>
      <c r="R23" s="1351">
        <v>1440.324</v>
      </c>
      <c r="S23" s="1351">
        <v>1561.11</v>
      </c>
      <c r="T23" s="1344">
        <f t="shared" si="0"/>
        <v>16072.307999999999</v>
      </c>
      <c r="V23">
        <f>SUM(H23:M23)</f>
        <v>7484.1</v>
      </c>
      <c r="W23">
        <f>SUM(N23:S23)</f>
        <v>8588.208</v>
      </c>
      <c r="X23">
        <f>V23+W23</f>
        <v>16072.308</v>
      </c>
    </row>
    <row r="24" spans="2:24" ht="22.5" customHeight="1">
      <c r="B24" s="1463">
        <v>4</v>
      </c>
      <c r="C24" s="1458" t="s">
        <v>695</v>
      </c>
      <c r="D24" s="1453" t="s">
        <v>237</v>
      </c>
      <c r="E24" s="1392">
        <f>'Коррект ПР'!D22</f>
        <v>-3.0312704098380436</v>
      </c>
      <c r="F24" s="1618"/>
      <c r="G24" s="1352" t="s">
        <v>2603</v>
      </c>
      <c r="H24" s="1907"/>
      <c r="I24" s="1908"/>
      <c r="J24" s="1908"/>
      <c r="K24" s="1908"/>
      <c r="L24" s="1908"/>
      <c r="M24" s="1908"/>
      <c r="N24" s="1908"/>
      <c r="O24" s="1908"/>
      <c r="P24" s="1908"/>
      <c r="Q24" s="1908"/>
      <c r="R24" s="1908"/>
      <c r="S24" s="1908"/>
      <c r="T24" s="1909"/>
      <c r="V24">
        <f>V22*V23</f>
        <v>307448.16103752184</v>
      </c>
      <c r="W24">
        <f>W22*W23</f>
        <v>322221.4676575593</v>
      </c>
      <c r="X24">
        <f>V24+W24</f>
        <v>629669.6286950812</v>
      </c>
    </row>
    <row r="25" spans="2:20" ht="25.5" customHeight="1">
      <c r="B25" s="1463">
        <v>5</v>
      </c>
      <c r="C25" s="1458" t="s">
        <v>696</v>
      </c>
      <c r="D25" s="1453" t="s">
        <v>237</v>
      </c>
      <c r="E25" s="1392">
        <f>'Коррект по ПО'!F19</f>
        <v>-368.67821182132354</v>
      </c>
      <c r="F25" s="1618"/>
      <c r="G25" s="1352" t="s">
        <v>2604</v>
      </c>
      <c r="H25" s="1353">
        <v>1.40554</v>
      </c>
      <c r="I25" s="1353">
        <v>1.58997</v>
      </c>
      <c r="J25" s="1353">
        <v>1.62052</v>
      </c>
      <c r="K25" s="1353">
        <v>1.53962</v>
      </c>
      <c r="L25" s="1353">
        <v>1.60691</v>
      </c>
      <c r="M25" s="1353">
        <v>1.65039</v>
      </c>
      <c r="N25" s="1353">
        <v>1.72263</v>
      </c>
      <c r="O25" s="1353">
        <v>1.76838</v>
      </c>
      <c r="P25" s="1353">
        <v>1.72742</v>
      </c>
      <c r="Q25" s="1353">
        <v>1.69016</v>
      </c>
      <c r="R25" s="1353">
        <v>1.63315</v>
      </c>
      <c r="S25" s="1353">
        <v>1.61696</v>
      </c>
      <c r="T25" s="1354">
        <f>T27/T26*1000</f>
        <v>1.631756935483871</v>
      </c>
    </row>
    <row r="26" spans="2:20" ht="24.75" customHeight="1">
      <c r="B26" s="1463">
        <v>6</v>
      </c>
      <c r="C26" s="1458" t="s">
        <v>631</v>
      </c>
      <c r="D26" s="1455" t="s">
        <v>237</v>
      </c>
      <c r="E26" s="1451">
        <f>'Коррект Кнк (1)'!E11</f>
        <v>0</v>
      </c>
      <c r="F26" s="1620"/>
      <c r="G26" s="1352" t="s">
        <v>2605</v>
      </c>
      <c r="H26" s="1333">
        <f>0.05*1000000</f>
        <v>50000</v>
      </c>
      <c r="I26" s="1333">
        <f>0.05*1000000</f>
        <v>50000</v>
      </c>
      <c r="J26" s="1333">
        <f>0.06*1000000</f>
        <v>60000</v>
      </c>
      <c r="K26" s="1333">
        <f aca="true" t="shared" si="1" ref="K26:P26">0.05*1000000</f>
        <v>50000</v>
      </c>
      <c r="L26" s="1333">
        <f t="shared" si="1"/>
        <v>50000</v>
      </c>
      <c r="M26" s="1333">
        <f t="shared" si="1"/>
        <v>50000</v>
      </c>
      <c r="N26" s="1333">
        <f t="shared" si="1"/>
        <v>50000</v>
      </c>
      <c r="O26" s="1333">
        <f t="shared" si="1"/>
        <v>50000</v>
      </c>
      <c r="P26" s="1333">
        <f t="shared" si="1"/>
        <v>50000</v>
      </c>
      <c r="Q26" s="1333">
        <f>0.06*1000000</f>
        <v>60000</v>
      </c>
      <c r="R26" s="1333">
        <f>0.05*1000000</f>
        <v>50000</v>
      </c>
      <c r="S26" s="1333">
        <f>0.05*1000000</f>
        <v>50000</v>
      </c>
      <c r="T26" s="1610">
        <f t="shared" si="0"/>
        <v>620000</v>
      </c>
    </row>
    <row r="27" spans="2:20" ht="26.25" customHeight="1" thickBot="1">
      <c r="B27" s="1464">
        <v>7</v>
      </c>
      <c r="C27" s="1461" t="s">
        <v>629</v>
      </c>
      <c r="D27" s="1456" t="s">
        <v>237</v>
      </c>
      <c r="E27" s="1392">
        <f>E23+E24+E25+E26</f>
        <v>-462.7590051106402</v>
      </c>
      <c r="F27" s="1618"/>
      <c r="G27" s="1352" t="s">
        <v>2606</v>
      </c>
      <c r="H27" s="1446">
        <f>H25*H26/1000</f>
        <v>70.277</v>
      </c>
      <c r="I27" s="1446">
        <f aca="true" t="shared" si="2" ref="I27:S27">I25*I26/1000</f>
        <v>79.4985</v>
      </c>
      <c r="J27" s="1446">
        <f t="shared" si="2"/>
        <v>97.2312</v>
      </c>
      <c r="K27" s="1446">
        <f t="shared" si="2"/>
        <v>76.981</v>
      </c>
      <c r="L27" s="1446">
        <f t="shared" si="2"/>
        <v>80.3455</v>
      </c>
      <c r="M27" s="1446">
        <f t="shared" si="2"/>
        <v>82.5195</v>
      </c>
      <c r="N27" s="1446">
        <f t="shared" si="2"/>
        <v>86.1315</v>
      </c>
      <c r="O27" s="1446">
        <f t="shared" si="2"/>
        <v>88.419</v>
      </c>
      <c r="P27" s="1446">
        <f t="shared" si="2"/>
        <v>86.371</v>
      </c>
      <c r="Q27" s="1446">
        <f t="shared" si="2"/>
        <v>101.40960000000001</v>
      </c>
      <c r="R27" s="1446">
        <f t="shared" si="2"/>
        <v>81.6575</v>
      </c>
      <c r="S27" s="1446">
        <f t="shared" si="2"/>
        <v>80.848</v>
      </c>
      <c r="T27" s="1355">
        <f t="shared" si="0"/>
        <v>1011.6893</v>
      </c>
    </row>
    <row r="28" spans="8:20" ht="16.5" customHeight="1">
      <c r="H28" s="1445"/>
      <c r="I28" s="1445"/>
      <c r="T28" s="1356">
        <f>T27/T26*1000</f>
        <v>1.631756935483871</v>
      </c>
    </row>
    <row r="29" spans="8:9" ht="16.5" customHeight="1">
      <c r="H29" s="1445"/>
      <c r="I29" s="1445"/>
    </row>
  </sheetData>
  <sheetProtection/>
  <mergeCells count="2">
    <mergeCell ref="H24:T24"/>
    <mergeCell ref="G16:I16"/>
  </mergeCells>
  <printOptions/>
  <pageMargins left="0.7" right="0.7" top="0.75" bottom="0.75" header="0.3" footer="0.3"/>
  <pageSetup fitToHeight="1" fitToWidth="1" horizontalDpi="600" verticalDpi="600" orientation="portrait" paperSize="9" scale="2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FF"/>
  </sheetPr>
  <dimension ref="C2:J41"/>
  <sheetViews>
    <sheetView zoomScalePageLayoutView="0" workbookViewId="0" topLeftCell="A1">
      <selection activeCell="F28" sqref="F28"/>
    </sheetView>
  </sheetViews>
  <sheetFormatPr defaultColWidth="9.00390625" defaultRowHeight="12.75"/>
  <cols>
    <col min="3" max="3" width="51.375" style="0" customWidth="1"/>
    <col min="4" max="4" width="13.875" style="0" customWidth="1"/>
    <col min="5" max="5" width="13.125" style="0" customWidth="1"/>
  </cols>
  <sheetData>
    <row r="2" spans="3:4" ht="18.75">
      <c r="C2" s="1357" t="s">
        <v>2607</v>
      </c>
      <c r="D2" s="1357"/>
    </row>
    <row r="3" spans="3:4" ht="18.75">
      <c r="C3" s="1357"/>
      <c r="D3" s="1357"/>
    </row>
    <row r="4" spans="3:7" ht="15.75">
      <c r="C4" s="1358" t="s">
        <v>2608</v>
      </c>
      <c r="D4" s="785"/>
      <c r="E4" s="785"/>
      <c r="F4" s="785"/>
      <c r="G4" s="1359"/>
    </row>
    <row r="5" spans="3:7" ht="12.75">
      <c r="C5" s="785"/>
      <c r="D5" s="785"/>
      <c r="E5" s="785"/>
      <c r="F5" s="785"/>
      <c r="G5" s="785"/>
    </row>
    <row r="6" spans="3:7" ht="12.75">
      <c r="C6" s="785"/>
      <c r="D6" s="1360"/>
      <c r="F6" s="785"/>
      <c r="G6" s="785"/>
    </row>
    <row r="7" spans="3:6" ht="15.75">
      <c r="C7" s="1358" t="s">
        <v>2609</v>
      </c>
      <c r="D7" s="1358"/>
      <c r="E7" s="785"/>
      <c r="F7" s="785"/>
    </row>
    <row r="8" spans="3:6" ht="15.75">
      <c r="C8" s="1358"/>
      <c r="D8" s="1358"/>
      <c r="E8" s="785"/>
      <c r="F8" s="785"/>
    </row>
    <row r="9" spans="3:10" ht="42" customHeight="1">
      <c r="C9" s="1361"/>
      <c r="D9" s="785"/>
      <c r="E9" s="785"/>
      <c r="F9" s="1911"/>
      <c r="G9" s="1912"/>
      <c r="H9" s="1912"/>
      <c r="I9" s="1912"/>
      <c r="J9" s="1912"/>
    </row>
    <row r="10" spans="3:5" ht="32.25" customHeight="1">
      <c r="C10" s="12" t="s">
        <v>641</v>
      </c>
      <c r="D10" s="785"/>
      <c r="E10" s="785"/>
    </row>
    <row r="11" spans="3:5" ht="12.75">
      <c r="C11" s="1360"/>
      <c r="D11" s="785"/>
      <c r="E11" s="785"/>
    </row>
    <row r="12" spans="3:5" ht="12.75">
      <c r="C12" s="1360"/>
      <c r="D12" s="785"/>
      <c r="E12" s="785"/>
    </row>
    <row r="13" spans="3:6" ht="15.75">
      <c r="C13" s="1547" t="s">
        <v>2610</v>
      </c>
      <c r="D13" s="1547"/>
      <c r="E13" s="1362"/>
      <c r="F13" s="1362"/>
    </row>
    <row r="14" spans="3:6" ht="15.75">
      <c r="C14" s="1547" t="s">
        <v>642</v>
      </c>
      <c r="D14" s="1548">
        <f>'НВВ 1'!G53</f>
        <v>1020.6297676222597</v>
      </c>
      <c r="E14" s="1362"/>
      <c r="F14" s="1362"/>
    </row>
    <row r="15" spans="3:6" ht="15.75">
      <c r="C15" s="1547" t="s">
        <v>643</v>
      </c>
      <c r="D15" s="1549">
        <v>0.01</v>
      </c>
      <c r="E15" s="1362"/>
      <c r="F15" s="1362"/>
    </row>
    <row r="16" spans="3:6" ht="15.75">
      <c r="C16" s="1136" t="s">
        <v>644</v>
      </c>
      <c r="D16" s="1550">
        <v>0.068</v>
      </c>
      <c r="E16" s="1362"/>
      <c r="F16" s="1362"/>
    </row>
    <row r="17" spans="3:6" ht="15.75">
      <c r="C17" s="1547" t="s">
        <v>645</v>
      </c>
      <c r="D17" s="1551">
        <v>0.75</v>
      </c>
      <c r="E17" s="1362"/>
      <c r="F17" s="1362"/>
    </row>
    <row r="18" spans="3:6" ht="15.75">
      <c r="C18" s="1547" t="s">
        <v>646</v>
      </c>
      <c r="D18" s="1552">
        <f>(D19-D20)/D20</f>
        <v>0</v>
      </c>
      <c r="E18" s="1362"/>
      <c r="F18" s="1362"/>
    </row>
    <row r="19" spans="3:6" ht="15.75">
      <c r="C19" s="1547" t="s">
        <v>647</v>
      </c>
      <c r="D19" s="1548">
        <f>'НВВ 1'!H30</f>
        <v>271.28</v>
      </c>
      <c r="E19" s="1362"/>
      <c r="F19" s="1362"/>
    </row>
    <row r="20" spans="3:6" ht="15.75">
      <c r="C20" s="1547" t="s">
        <v>648</v>
      </c>
      <c r="D20" s="1548">
        <f>'НВВ 1'!G30</f>
        <v>271.28</v>
      </c>
      <c r="E20" s="1362"/>
      <c r="F20" s="1362"/>
    </row>
    <row r="21" spans="3:6" ht="15.75">
      <c r="C21" s="1547" t="s">
        <v>649</v>
      </c>
      <c r="D21" s="1548">
        <f>'НВВ 1'!H53</f>
        <v>1082.1635363122057</v>
      </c>
      <c r="E21" s="1362"/>
      <c r="F21" s="1362"/>
    </row>
    <row r="22" spans="3:6" ht="15.75">
      <c r="C22" s="1547" t="s">
        <v>650</v>
      </c>
      <c r="D22" s="1548">
        <f>D14*(1-D15)*(1+D16)*(1+D17*D18)-D21</f>
        <v>-3.0312704098380436</v>
      </c>
      <c r="E22" s="1362"/>
      <c r="F22" s="1362"/>
    </row>
    <row r="23" spans="3:6" ht="15.75">
      <c r="C23" s="1545"/>
      <c r="D23" s="1545"/>
      <c r="E23" s="1362"/>
      <c r="F23" s="1362"/>
    </row>
    <row r="24" spans="3:6" ht="15.75">
      <c r="C24" s="1545"/>
      <c r="D24" s="1546"/>
      <c r="E24" s="1362"/>
      <c r="F24" s="1362"/>
    </row>
    <row r="25" spans="3:6" ht="15.75">
      <c r="C25" s="1545"/>
      <c r="D25" s="1546"/>
      <c r="E25" s="1362"/>
      <c r="F25" s="1362"/>
    </row>
    <row r="26" spans="3:6" ht="15.75">
      <c r="C26" s="1545"/>
      <c r="D26" s="1546"/>
      <c r="E26" s="1362"/>
      <c r="F26" s="1362"/>
    </row>
    <row r="27" spans="3:6" ht="15.75">
      <c r="C27" s="1545"/>
      <c r="D27" s="1546"/>
      <c r="E27" s="1362"/>
      <c r="F27" s="1362"/>
    </row>
    <row r="28" spans="3:6" ht="15.75">
      <c r="C28" s="1545"/>
      <c r="D28" s="1546"/>
      <c r="E28" s="1362"/>
      <c r="F28" s="1362"/>
    </row>
    <row r="29" ht="12.75">
      <c r="D29" s="1363"/>
    </row>
    <row r="31" spans="3:4" ht="12.75">
      <c r="C31" s="66" t="s">
        <v>2611</v>
      </c>
      <c r="D31" s="1364"/>
    </row>
    <row r="32" spans="3:4" ht="15" customHeight="1">
      <c r="C32" s="66" t="s">
        <v>2612</v>
      </c>
      <c r="D32" s="1364"/>
    </row>
    <row r="33" spans="3:7" ht="15.75">
      <c r="C33" s="1358"/>
      <c r="D33" s="785"/>
      <c r="E33" s="785"/>
      <c r="F33" s="785"/>
      <c r="G33" s="1359"/>
    </row>
    <row r="34" spans="3:7" ht="12.75">
      <c r="C34" s="1365">
        <v>0.028400000000000033</v>
      </c>
      <c r="D34" s="785"/>
      <c r="E34" s="785"/>
      <c r="F34" s="785"/>
      <c r="G34" s="785"/>
    </row>
    <row r="35" spans="3:7" ht="12.75">
      <c r="C35" s="1366">
        <v>-127.461435475818</v>
      </c>
      <c r="D35" s="1360"/>
      <c r="E35" s="785"/>
      <c r="F35" s="785"/>
      <c r="G35" s="785"/>
    </row>
    <row r="36" spans="3:6" ht="15.75">
      <c r="C36" s="1358"/>
      <c r="D36" s="785"/>
      <c r="E36" s="785"/>
      <c r="F36" s="785"/>
    </row>
    <row r="37" spans="3:10" ht="15" customHeight="1">
      <c r="C37" s="1913" t="s">
        <v>2613</v>
      </c>
      <c r="D37" s="1913"/>
      <c r="E37" s="1913"/>
      <c r="F37" s="1913"/>
      <c r="G37" s="1913"/>
      <c r="H37" s="1913"/>
      <c r="I37" s="1913"/>
      <c r="J37" s="1913"/>
    </row>
    <row r="38" spans="3:7" ht="12.75">
      <c r="C38" s="785"/>
      <c r="D38" s="475"/>
      <c r="F38" s="1359"/>
      <c r="G38" s="1359"/>
    </row>
    <row r="39" spans="3:9" ht="30" customHeight="1">
      <c r="C39" s="1914" t="s">
        <v>2614</v>
      </c>
      <c r="D39" s="1914"/>
      <c r="E39" s="1914"/>
      <c r="F39" s="1914"/>
      <c r="G39" s="1914"/>
      <c r="H39" s="1914"/>
      <c r="I39" s="1914"/>
    </row>
    <row r="41" ht="15">
      <c r="C41" s="1367" t="s">
        <v>2615</v>
      </c>
    </row>
  </sheetData>
  <sheetProtection/>
  <mergeCells count="3">
    <mergeCell ref="F9:J9"/>
    <mergeCell ref="C37:J37"/>
    <mergeCell ref="C39:I3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1:H25"/>
  <sheetViews>
    <sheetView zoomScalePageLayoutView="0" workbookViewId="0" topLeftCell="A1">
      <selection activeCell="D40" sqref="D40"/>
    </sheetView>
  </sheetViews>
  <sheetFormatPr defaultColWidth="9.00390625" defaultRowHeight="12.75"/>
  <cols>
    <col min="4" max="4" width="43.75390625" style="0" customWidth="1"/>
    <col min="5" max="5" width="17.125" style="0" customWidth="1"/>
    <col min="6" max="6" width="16.75390625" style="0" customWidth="1"/>
    <col min="7" max="7" width="17.125" style="0" customWidth="1"/>
  </cols>
  <sheetData>
    <row r="1" ht="12.75">
      <c r="D1" t="s">
        <v>2477</v>
      </c>
    </row>
    <row r="3" spans="3:7" ht="18.75">
      <c r="C3" s="1368"/>
      <c r="D3" s="1357" t="s">
        <v>662</v>
      </c>
      <c r="E3" s="1369"/>
      <c r="F3" s="1369"/>
      <c r="G3" s="1369"/>
    </row>
    <row r="4" spans="3:7" ht="12.75">
      <c r="C4" s="1368"/>
      <c r="D4" s="1369"/>
      <c r="E4" s="1369"/>
      <c r="F4" s="1369"/>
      <c r="G4" s="1369"/>
    </row>
    <row r="5" spans="3:7" ht="16.5" customHeight="1">
      <c r="C5" s="1370"/>
      <c r="D5" s="1371"/>
      <c r="E5" s="1371"/>
      <c r="F5" s="1372" t="s">
        <v>652</v>
      </c>
      <c r="G5" s="1373"/>
    </row>
    <row r="6" spans="3:8" ht="18.75">
      <c r="C6" s="1370"/>
      <c r="D6" s="1371"/>
      <c r="E6" s="1371"/>
      <c r="F6" s="1371"/>
      <c r="G6" s="1374"/>
      <c r="H6" s="15"/>
    </row>
    <row r="7" spans="3:8" ht="20.25" thickBot="1">
      <c r="C7" s="1375"/>
      <c r="D7" s="1376"/>
      <c r="E7" s="1376"/>
      <c r="F7" s="1376"/>
      <c r="G7" s="1377"/>
      <c r="H7" s="15"/>
    </row>
    <row r="8" spans="3:8" ht="15.75">
      <c r="C8" s="1915" t="s">
        <v>1</v>
      </c>
      <c r="D8" s="1917" t="s">
        <v>34</v>
      </c>
      <c r="E8" s="1919">
        <v>2013</v>
      </c>
      <c r="F8" s="1919"/>
      <c r="G8" s="1920" t="s">
        <v>651</v>
      </c>
      <c r="H8" s="1577"/>
    </row>
    <row r="9" spans="3:8" ht="12.75" customHeight="1">
      <c r="C9" s="1916"/>
      <c r="D9" s="1918"/>
      <c r="E9" s="1378" t="s">
        <v>2616</v>
      </c>
      <c r="F9" s="1378" t="s">
        <v>2617</v>
      </c>
      <c r="G9" s="1921"/>
      <c r="H9" s="15"/>
    </row>
    <row r="10" spans="3:8" ht="15.75">
      <c r="C10" s="1380" t="s">
        <v>540</v>
      </c>
      <c r="D10" s="1381" t="s">
        <v>2618</v>
      </c>
      <c r="E10" s="1382">
        <f>'НВВ 1'!H61</f>
        <v>13.94</v>
      </c>
      <c r="F10" s="1382">
        <f>'НВВ 1'!I61</f>
        <v>13.94</v>
      </c>
      <c r="G10" s="1379">
        <f aca="true" t="shared" si="0" ref="G10:G16">F10-E10</f>
        <v>0</v>
      </c>
      <c r="H10" s="15"/>
    </row>
    <row r="11" spans="3:8" ht="15.75">
      <c r="C11" s="1380" t="s">
        <v>2619</v>
      </c>
      <c r="D11" s="1381" t="s">
        <v>2620</v>
      </c>
      <c r="E11" s="1382"/>
      <c r="F11" s="1382">
        <f>'НВВ 1'!I62</f>
        <v>0</v>
      </c>
      <c r="G11" s="1379">
        <f t="shared" si="0"/>
        <v>0</v>
      </c>
      <c r="H11" s="15"/>
    </row>
    <row r="12" spans="3:7" ht="15.75">
      <c r="C12" s="1380" t="s">
        <v>2621</v>
      </c>
      <c r="D12" s="1381" t="s">
        <v>2622</v>
      </c>
      <c r="E12" s="1382">
        <f>'НВВ 1'!H63</f>
        <v>264.2656716028788</v>
      </c>
      <c r="F12" s="1382">
        <f>'НВВ 1'!I63</f>
        <v>263.5254316264002</v>
      </c>
      <c r="G12" s="1379">
        <f t="shared" si="0"/>
        <v>-0.7402399764786196</v>
      </c>
    </row>
    <row r="13" spans="3:7" ht="15.75">
      <c r="C13" s="1380" t="s">
        <v>2623</v>
      </c>
      <c r="D13" s="1381" t="s">
        <v>2624</v>
      </c>
      <c r="E13" s="1382">
        <f>'НВВ 1'!H65</f>
        <v>25.9131450942</v>
      </c>
      <c r="F13" s="1382">
        <f>'НВВ 1'!I65</f>
        <v>25.9131450942</v>
      </c>
      <c r="G13" s="1379">
        <f t="shared" si="0"/>
        <v>0</v>
      </c>
    </row>
    <row r="14" spans="3:7" ht="15.75">
      <c r="C14" s="1380" t="s">
        <v>1316</v>
      </c>
      <c r="D14" s="1381" t="s">
        <v>2625</v>
      </c>
      <c r="E14" s="1382"/>
      <c r="F14" s="1382">
        <f>'НВВ 1'!I74-F18</f>
        <v>0</v>
      </c>
      <c r="G14" s="1379">
        <f t="shared" si="0"/>
        <v>0</v>
      </c>
    </row>
    <row r="15" spans="3:7" ht="15.75">
      <c r="C15" s="1380" t="s">
        <v>2626</v>
      </c>
      <c r="D15" s="1383" t="s">
        <v>2627</v>
      </c>
      <c r="E15" s="1382">
        <f>'НВВ 1'!H75</f>
        <v>21.419999999999998</v>
      </c>
      <c r="F15" s="1382">
        <f>'НВВ 1'!I75</f>
        <v>21.419999999999998</v>
      </c>
      <c r="G15" s="1379">
        <f t="shared" si="0"/>
        <v>0</v>
      </c>
    </row>
    <row r="16" spans="3:7" ht="15.75">
      <c r="C16" s="1380" t="s">
        <v>1529</v>
      </c>
      <c r="D16" s="1383" t="s">
        <v>2628</v>
      </c>
      <c r="E16" s="1382">
        <f>'НВВ 1'!H77</f>
        <v>5.16</v>
      </c>
      <c r="F16" s="1382">
        <f>'НВВ 1'!I77</f>
        <v>5.16</v>
      </c>
      <c r="G16" s="1379">
        <f t="shared" si="0"/>
        <v>0</v>
      </c>
    </row>
    <row r="17" spans="3:7" ht="17.25">
      <c r="C17" s="1380" t="s">
        <v>1551</v>
      </c>
      <c r="D17" s="1384" t="s">
        <v>2629</v>
      </c>
      <c r="E17" s="1382"/>
      <c r="F17" s="1382"/>
      <c r="G17" s="1379"/>
    </row>
    <row r="18" spans="3:7" ht="15.75">
      <c r="C18" s="1434" t="s">
        <v>2630</v>
      </c>
      <c r="D18" s="1431" t="s">
        <v>2631</v>
      </c>
      <c r="E18" s="1432"/>
      <c r="F18" s="1432"/>
      <c r="G18" s="1433"/>
    </row>
    <row r="19" spans="3:7" ht="15.75">
      <c r="C19" s="1380" t="s">
        <v>1318</v>
      </c>
      <c r="D19" s="1381" t="s">
        <v>2632</v>
      </c>
      <c r="E19" s="1382">
        <f>'НВВ 1'!H72</f>
        <v>90.309282903</v>
      </c>
      <c r="F19" s="1382">
        <v>0</v>
      </c>
      <c r="G19" s="1379">
        <f>F19-E19</f>
        <v>-90.309282903</v>
      </c>
    </row>
    <row r="20" spans="3:7" ht="15.75">
      <c r="C20" s="1380" t="s">
        <v>1322</v>
      </c>
      <c r="D20" s="1381" t="s">
        <v>2633</v>
      </c>
      <c r="E20" s="1382"/>
      <c r="F20" s="1382"/>
      <c r="G20" s="1379"/>
    </row>
    <row r="21" spans="3:7" ht="21" customHeight="1" thickBot="1">
      <c r="C21" s="1385"/>
      <c r="D21" s="1386" t="s">
        <v>2634</v>
      </c>
      <c r="E21" s="1387">
        <f>E10+E11+E12+E13+E14+E19+E20</f>
        <v>394.4280996000788</v>
      </c>
      <c r="F21" s="1387">
        <f>F10+F11+F12+F13+F14+F19+F20</f>
        <v>303.37857672060017</v>
      </c>
      <c r="G21" s="1578">
        <f>G10+G11+G12+G13+G14+G19+G20</f>
        <v>-91.04952287947862</v>
      </c>
    </row>
    <row r="22" ht="12.75">
      <c r="G22" s="475"/>
    </row>
    <row r="23" spans="5:6" ht="12.75">
      <c r="E23" s="475"/>
      <c r="F23" s="475"/>
    </row>
    <row r="25" spans="5:6" ht="12.75">
      <c r="E25" s="475"/>
      <c r="F25" s="475"/>
    </row>
  </sheetData>
  <sheetProtection/>
  <mergeCells count="4">
    <mergeCell ref="C8:C9"/>
    <mergeCell ref="D8:D9"/>
    <mergeCell ref="E8:F8"/>
    <mergeCell ref="G8:G9"/>
  </mergeCells>
  <dataValidations count="1">
    <dataValidation type="decimal" allowBlank="1" showInputMessage="1" showErrorMessage="1" error="Ввведеное значение неверно" sqref="F8:F9 G10:G20 H8">
      <formula1>-1000000000000000</formula1>
      <formula2>1000000000000000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B1:K29"/>
  <sheetViews>
    <sheetView zoomScalePageLayoutView="0" workbookViewId="0" topLeftCell="A6">
      <selection activeCell="J20" sqref="J20"/>
    </sheetView>
  </sheetViews>
  <sheetFormatPr defaultColWidth="9.00390625" defaultRowHeight="12.75"/>
  <cols>
    <col min="3" max="3" width="47.75390625" style="0" customWidth="1"/>
    <col min="4" max="4" width="13.625" style="0" customWidth="1"/>
    <col min="5" max="5" width="12.625" style="0" customWidth="1"/>
    <col min="6" max="6" width="16.25390625" style="0" customWidth="1"/>
    <col min="8" max="8" width="15.875" style="0" customWidth="1"/>
    <col min="9" max="9" width="9.75390625" style="0" bestFit="1" customWidth="1"/>
  </cols>
  <sheetData>
    <row r="1" ht="12.75">
      <c r="C1" t="s">
        <v>2477</v>
      </c>
    </row>
    <row r="3" spans="3:8" ht="71.25" customHeight="1">
      <c r="C3" s="1922" t="s">
        <v>624</v>
      </c>
      <c r="D3" s="1922"/>
      <c r="E3" s="1922"/>
      <c r="F3" s="1923"/>
      <c r="G3" s="1388"/>
      <c r="H3" s="1388"/>
    </row>
    <row r="4" spans="3:8" ht="37.5" customHeight="1">
      <c r="C4" s="1924" t="s">
        <v>726</v>
      </c>
      <c r="D4" s="1924"/>
      <c r="E4" s="1924"/>
      <c r="F4" s="1389"/>
      <c r="G4" s="1390"/>
      <c r="H4" s="1388"/>
    </row>
    <row r="5" spans="3:8" ht="15.75">
      <c r="C5" s="1925"/>
      <c r="D5" s="1925"/>
      <c r="E5" s="1925"/>
      <c r="F5" s="1362"/>
      <c r="G5" s="1388"/>
      <c r="H5" s="1388"/>
    </row>
    <row r="6" spans="2:8" ht="15.75">
      <c r="B6" s="564"/>
      <c r="C6" s="1926" t="s">
        <v>34</v>
      </c>
      <c r="D6" s="1926"/>
      <c r="E6" s="1391" t="s">
        <v>1559</v>
      </c>
      <c r="F6" s="1448" t="s">
        <v>623</v>
      </c>
      <c r="G6" s="1393"/>
      <c r="H6" s="1360"/>
    </row>
    <row r="7" spans="2:8" ht="40.5" customHeight="1">
      <c r="B7" s="1449">
        <v>1</v>
      </c>
      <c r="C7" s="1395" t="s">
        <v>653</v>
      </c>
      <c r="D7" s="1394" t="s">
        <v>656</v>
      </c>
      <c r="E7" s="1394" t="s">
        <v>2635</v>
      </c>
      <c r="F7" s="1450">
        <v>27.67</v>
      </c>
      <c r="G7" s="1360"/>
      <c r="H7" s="1360"/>
    </row>
    <row r="8" spans="2:8" ht="49.5" customHeight="1">
      <c r="B8" s="1449">
        <v>2</v>
      </c>
      <c r="C8" s="1395" t="s">
        <v>654</v>
      </c>
      <c r="D8" s="1394" t="s">
        <v>657</v>
      </c>
      <c r="E8" s="1394" t="s">
        <v>2635</v>
      </c>
      <c r="F8" s="1406">
        <v>0.62</v>
      </c>
      <c r="G8" s="1360"/>
      <c r="H8" s="1393"/>
    </row>
    <row r="9" spans="2:8" ht="27" customHeight="1">
      <c r="B9" s="1449">
        <v>3</v>
      </c>
      <c r="C9" s="1436" t="s">
        <v>572</v>
      </c>
      <c r="D9" s="1394" t="s">
        <v>573</v>
      </c>
      <c r="E9" s="1394" t="s">
        <v>1521</v>
      </c>
      <c r="F9" s="1405"/>
      <c r="G9" s="1360"/>
      <c r="H9" s="1360"/>
    </row>
    <row r="10" spans="2:8" ht="31.5">
      <c r="B10" s="1449">
        <v>4</v>
      </c>
      <c r="C10" s="1395" t="s">
        <v>2636</v>
      </c>
      <c r="D10" s="1391" t="s">
        <v>2640</v>
      </c>
      <c r="E10" s="1394" t="s">
        <v>1521</v>
      </c>
      <c r="F10" s="1396">
        <f>F8/F7</f>
        <v>0.02240693892302132</v>
      </c>
      <c r="G10" s="1360"/>
      <c r="H10" s="1397"/>
    </row>
    <row r="11" spans="2:8" ht="47.25">
      <c r="B11" s="1449">
        <v>5</v>
      </c>
      <c r="C11" s="1395" t="s">
        <v>655</v>
      </c>
      <c r="D11" s="1394" t="s">
        <v>658</v>
      </c>
      <c r="E11" s="1394" t="s">
        <v>2637</v>
      </c>
      <c r="F11" s="1450">
        <f>F12/F8</f>
        <v>1542.4594093405237</v>
      </c>
      <c r="G11" s="1360"/>
      <c r="H11" s="1360"/>
    </row>
    <row r="12" spans="2:11" ht="25.5" customHeight="1">
      <c r="B12" s="1449">
        <v>6</v>
      </c>
      <c r="C12" s="1436" t="s">
        <v>2638</v>
      </c>
      <c r="D12" s="1394"/>
      <c r="E12" s="1394" t="s">
        <v>237</v>
      </c>
      <c r="F12" s="1406">
        <v>956.3248337911248</v>
      </c>
      <c r="G12" s="1360"/>
      <c r="H12" s="1360"/>
      <c r="I12">
        <v>532.3991083826089</v>
      </c>
      <c r="J12">
        <v>551.9053322</v>
      </c>
      <c r="K12">
        <f>I12+J12</f>
        <v>1084.304440582609</v>
      </c>
    </row>
    <row r="13" spans="2:8" ht="30" customHeight="1">
      <c r="B13" s="1449">
        <v>7</v>
      </c>
      <c r="C13" s="1395" t="s">
        <v>727</v>
      </c>
      <c r="D13" s="1391" t="s">
        <v>659</v>
      </c>
      <c r="E13" s="1391" t="s">
        <v>2635</v>
      </c>
      <c r="F13" s="1398">
        <f>'НВВ с коррект'!T23/1000</f>
        <v>16.072308</v>
      </c>
      <c r="G13" s="1360"/>
      <c r="H13" s="1399">
        <f>F13-F7</f>
        <v>-11.597692000000002</v>
      </c>
    </row>
    <row r="14" spans="2:9" ht="35.25" customHeight="1">
      <c r="B14" s="1449">
        <v>8</v>
      </c>
      <c r="C14" s="1395" t="s">
        <v>728</v>
      </c>
      <c r="D14" s="1391" t="s">
        <v>660</v>
      </c>
      <c r="E14" s="1391" t="s">
        <v>2635</v>
      </c>
      <c r="F14" s="1398">
        <f>'НВВ с коррект'!T26/1000000</f>
        <v>0.62</v>
      </c>
      <c r="G14" s="1360"/>
      <c r="H14" s="1360">
        <f>H13*F10</f>
        <v>-0.25986877629201305</v>
      </c>
      <c r="I14">
        <f>H14*F16</f>
        <v>-424.0426780301989</v>
      </c>
    </row>
    <row r="15" spans="2:8" ht="20.25" customHeight="1">
      <c r="B15" s="1449">
        <v>9</v>
      </c>
      <c r="C15" s="1395" t="s">
        <v>2639</v>
      </c>
      <c r="D15" s="1391" t="s">
        <v>574</v>
      </c>
      <c r="E15" s="1394" t="s">
        <v>1521</v>
      </c>
      <c r="F15" s="1396">
        <f>F14/F13</f>
        <v>0.03857566691728406</v>
      </c>
      <c r="G15" s="1360"/>
      <c r="H15" s="1400">
        <f>F7</f>
        <v>27.67</v>
      </c>
    </row>
    <row r="16" spans="2:10" ht="39" customHeight="1">
      <c r="B16" s="1449">
        <v>10</v>
      </c>
      <c r="C16" s="1395" t="s">
        <v>2641</v>
      </c>
      <c r="D16" s="1394" t="s">
        <v>661</v>
      </c>
      <c r="E16" s="1394" t="s">
        <v>2637</v>
      </c>
      <c r="F16" s="1450">
        <f>F17/F14</f>
        <v>1631.756935483871</v>
      </c>
      <c r="G16" s="1360"/>
      <c r="H16" s="1399">
        <f>F16-F11</f>
        <v>89.29752614334734</v>
      </c>
      <c r="I16" s="475">
        <f>H15*F10</f>
        <v>0.62</v>
      </c>
      <c r="J16">
        <f>I16*H16</f>
        <v>55.36446620887535</v>
      </c>
    </row>
    <row r="17" spans="2:9" ht="25.5" customHeight="1">
      <c r="B17" s="1449">
        <v>11</v>
      </c>
      <c r="C17" s="1436" t="s">
        <v>2642</v>
      </c>
      <c r="D17" s="1394"/>
      <c r="E17" s="1394" t="s">
        <v>237</v>
      </c>
      <c r="F17" s="1392">
        <f>'НВВ с коррект'!T27</f>
        <v>1011.6893</v>
      </c>
      <c r="G17" s="1360"/>
      <c r="H17" s="1360"/>
      <c r="I17" s="1363"/>
    </row>
    <row r="18" spans="2:8" ht="36.75" customHeight="1">
      <c r="B18" s="1449">
        <v>12</v>
      </c>
      <c r="C18" s="1395" t="s">
        <v>2643</v>
      </c>
      <c r="D18" s="1395"/>
      <c r="E18" s="1391"/>
      <c r="F18" s="1392">
        <f>F16-F11</f>
        <v>89.29752614334734</v>
      </c>
      <c r="G18" s="1360"/>
      <c r="H18" s="1360"/>
    </row>
    <row r="19" spans="2:8" ht="57.75" customHeight="1">
      <c r="B19" s="1449">
        <v>13</v>
      </c>
      <c r="C19" s="1395" t="s">
        <v>2644</v>
      </c>
      <c r="D19" s="1395"/>
      <c r="E19" s="1391" t="s">
        <v>237</v>
      </c>
      <c r="F19" s="1451">
        <f>(F13-F7)*F10*F16+F7*(F16-F11)*F10</f>
        <v>-368.67821182132354</v>
      </c>
      <c r="G19" s="1360"/>
      <c r="H19" s="1360"/>
    </row>
    <row r="20" spans="3:8" ht="15.75">
      <c r="C20" s="1401"/>
      <c r="D20" s="1401"/>
      <c r="E20" s="1401"/>
      <c r="F20" s="1402"/>
      <c r="G20" s="1388"/>
      <c r="H20" s="1388"/>
    </row>
    <row r="21" spans="3:8" ht="15.75">
      <c r="C21" s="1403"/>
      <c r="D21" s="1403"/>
      <c r="E21" s="1403"/>
      <c r="F21" s="1362"/>
      <c r="G21" s="1388"/>
      <c r="H21" s="1388"/>
    </row>
    <row r="22" spans="3:8" ht="15">
      <c r="C22" s="1404"/>
      <c r="D22" s="1404"/>
      <c r="E22" s="1404"/>
      <c r="F22" s="475">
        <f>F12-F17</f>
        <v>-55.36446620887523</v>
      </c>
      <c r="G22" s="1388"/>
      <c r="H22" s="1388"/>
    </row>
    <row r="23" spans="3:8" ht="15">
      <c r="C23" s="1362"/>
      <c r="D23" s="1362"/>
      <c r="E23" s="1362"/>
      <c r="F23" s="1362"/>
      <c r="G23" s="1388"/>
      <c r="H23" s="1388"/>
    </row>
    <row r="24" spans="3:6" ht="15">
      <c r="C24" s="1362"/>
      <c r="D24" s="1362"/>
      <c r="E24" s="1362"/>
      <c r="F24" s="1362">
        <v>-630.7312500301989</v>
      </c>
    </row>
    <row r="25" ht="12.75">
      <c r="F25">
        <v>-574.7010666449225</v>
      </c>
    </row>
    <row r="26" ht="12.75">
      <c r="F26">
        <v>-578.4530555349622</v>
      </c>
    </row>
    <row r="28" ht="12.75">
      <c r="F28">
        <f>F24-F25</f>
        <v>-56.03018338527636</v>
      </c>
    </row>
    <row r="29" ht="12.75">
      <c r="F29">
        <f>F24-F26</f>
        <v>-52.278194495236676</v>
      </c>
    </row>
  </sheetData>
  <sheetProtection/>
  <mergeCells count="4">
    <mergeCell ref="C3:F3"/>
    <mergeCell ref="C4:E4"/>
    <mergeCell ref="C5:E5"/>
    <mergeCell ref="C6:D6"/>
  </mergeCells>
  <printOptions/>
  <pageMargins left="0.7" right="0.7" top="0.75" bottom="0.75" header="0.3" footer="0.3"/>
  <pageSetup fitToHeight="1" fitToWidth="1" horizontalDpi="600" verticalDpi="600" orientation="portrait" paperSize="9" scale="5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39.375" style="0" customWidth="1"/>
    <col min="3" max="5" width="13.625" style="0" customWidth="1"/>
    <col min="6" max="6" width="16.375" style="0" customWidth="1"/>
    <col min="7" max="7" width="14.375" style="0" customWidth="1"/>
  </cols>
  <sheetData>
    <row r="1" ht="12.75">
      <c r="B1" t="s">
        <v>2477</v>
      </c>
    </row>
    <row r="2" spans="1:7" ht="45" customHeight="1" thickBot="1">
      <c r="A2" s="1928" t="s">
        <v>611</v>
      </c>
      <c r="B2" s="1928"/>
      <c r="C2" s="1928"/>
      <c r="D2" s="1928"/>
      <c r="E2" s="1928"/>
      <c r="F2" s="1447"/>
      <c r="G2" s="1447"/>
    </row>
    <row r="3" spans="1:8" ht="38.25" customHeight="1" thickBot="1">
      <c r="A3" s="1470" t="s">
        <v>1</v>
      </c>
      <c r="B3" s="1470" t="s">
        <v>612</v>
      </c>
      <c r="C3" s="1470" t="s">
        <v>613</v>
      </c>
      <c r="D3" s="1470" t="s">
        <v>699</v>
      </c>
      <c r="E3" s="1470" t="s">
        <v>700</v>
      </c>
      <c r="F3" s="1466" t="s">
        <v>632</v>
      </c>
      <c r="G3" s="1473" t="s">
        <v>633</v>
      </c>
      <c r="H3" s="1471" t="s">
        <v>2645</v>
      </c>
    </row>
    <row r="4" spans="1:8" ht="13.5" thickBot="1">
      <c r="A4" s="1407">
        <v>1</v>
      </c>
      <c r="B4" s="1407">
        <v>2</v>
      </c>
      <c r="C4" s="1407">
        <v>3</v>
      </c>
      <c r="D4" s="1407">
        <v>4</v>
      </c>
      <c r="E4" s="1408">
        <v>5</v>
      </c>
      <c r="F4" s="1442"/>
      <c r="G4" s="1474"/>
      <c r="H4" s="1472"/>
    </row>
    <row r="5" spans="1:8" ht="25.5">
      <c r="A5" s="1409" t="s">
        <v>292</v>
      </c>
      <c r="B5" s="1410" t="s">
        <v>614</v>
      </c>
      <c r="C5" s="1411"/>
      <c r="D5" s="1429">
        <v>0</v>
      </c>
      <c r="E5" s="1429">
        <v>0</v>
      </c>
      <c r="F5" s="1443">
        <f>D5*(1+35%)</f>
        <v>0</v>
      </c>
      <c r="G5" s="1475">
        <f>D5*(1-35%)</f>
        <v>0</v>
      </c>
      <c r="H5" s="1467"/>
    </row>
    <row r="6" spans="1:8" ht="26.25" thickBot="1">
      <c r="A6" s="1412" t="s">
        <v>293</v>
      </c>
      <c r="B6" s="1413" t="s">
        <v>615</v>
      </c>
      <c r="C6" s="1414"/>
      <c r="D6" s="1421">
        <v>1.0102</v>
      </c>
      <c r="E6" s="1421">
        <v>0.9</v>
      </c>
      <c r="F6" s="1444">
        <f>D6*(1+35%)</f>
        <v>1.3637700000000001</v>
      </c>
      <c r="G6" s="1476">
        <f>D6*(1-35%)</f>
        <v>0.65663</v>
      </c>
      <c r="H6" s="1467"/>
    </row>
    <row r="7" spans="1:8" ht="25.5">
      <c r="A7" s="1412" t="s">
        <v>1354</v>
      </c>
      <c r="B7" s="1413" t="s">
        <v>616</v>
      </c>
      <c r="C7" s="1415" t="s">
        <v>617</v>
      </c>
      <c r="D7" s="1421" t="s">
        <v>571</v>
      </c>
      <c r="E7" s="1421">
        <f>(0.65*IF(E5&lt;=D5*(1-0.35),IF(AND(D5=0,E5=0),0,1),IF(E5&gt;D5*(1+0.35),-1,0)))+(0.35*IF(E6&lt;=D6*(1-0.35),IF(AND(D6=0,E6=0),0,1),IF(E6&gt;D6*(1+0.35),-1,0)))</f>
        <v>0</v>
      </c>
      <c r="F7" s="1437"/>
      <c r="H7" s="1416"/>
    </row>
    <row r="8" spans="1:6" ht="24" customHeight="1">
      <c r="A8" s="1417" t="s">
        <v>1355</v>
      </c>
      <c r="B8" s="1418" t="s">
        <v>618</v>
      </c>
      <c r="C8" s="1415"/>
      <c r="D8" s="1419" t="s">
        <v>571</v>
      </c>
      <c r="E8" s="1420">
        <v>0.02</v>
      </c>
      <c r="F8" s="1438"/>
    </row>
    <row r="9" spans="1:6" ht="35.25" customHeight="1">
      <c r="A9" s="1417" t="s">
        <v>1356</v>
      </c>
      <c r="B9" s="1418" t="s">
        <v>619</v>
      </c>
      <c r="C9" s="1415"/>
      <c r="D9" s="1421" t="s">
        <v>571</v>
      </c>
      <c r="E9" s="1627">
        <f>E7*E8</f>
        <v>0</v>
      </c>
      <c r="F9" s="1439"/>
    </row>
    <row r="10" spans="1:6" ht="26.25" thickBot="1">
      <c r="A10" s="1422" t="s">
        <v>1358</v>
      </c>
      <c r="B10" s="1423" t="s">
        <v>620</v>
      </c>
      <c r="C10" s="1424" t="s">
        <v>621</v>
      </c>
      <c r="D10" s="1430" t="s">
        <v>571</v>
      </c>
      <c r="E10" s="1430">
        <f>'НВВ 1'!H83</f>
        <v>1575.958288824149</v>
      </c>
      <c r="F10" s="1440"/>
    </row>
    <row r="11" spans="1:6" ht="26.25" thickBot="1">
      <c r="A11" s="1425" t="s">
        <v>1359</v>
      </c>
      <c r="B11" s="1426" t="s">
        <v>622</v>
      </c>
      <c r="C11" s="1427"/>
      <c r="D11" s="1428"/>
      <c r="E11" s="1428">
        <f>E9*E10</f>
        <v>0</v>
      </c>
      <c r="F11" s="1441"/>
    </row>
    <row r="12" spans="8:10" ht="17.25" thickBot="1">
      <c r="H12" t="s">
        <v>725</v>
      </c>
      <c r="I12" s="1628">
        <v>0</v>
      </c>
      <c r="J12" s="1629">
        <v>1.0102</v>
      </c>
    </row>
    <row r="13" spans="8:10" ht="16.5" thickBot="1">
      <c r="H13" t="s">
        <v>2617</v>
      </c>
      <c r="I13" s="1630">
        <v>0</v>
      </c>
      <c r="J13" s="1631">
        <v>0.9</v>
      </c>
    </row>
    <row r="14" spans="2:6" ht="42.75" customHeight="1" hidden="1">
      <c r="B14" s="1929" t="s">
        <v>570</v>
      </c>
      <c r="C14" s="1929"/>
      <c r="D14" s="1929"/>
      <c r="E14" s="1929"/>
      <c r="F14" s="1435"/>
    </row>
    <row r="15" spans="2:5" ht="51" customHeight="1">
      <c r="B15" s="1927" t="s">
        <v>625</v>
      </c>
      <c r="C15" s="1927"/>
      <c r="D15" s="1927"/>
      <c r="E15" s="1927"/>
    </row>
  </sheetData>
  <sheetProtection/>
  <mergeCells count="3">
    <mergeCell ref="B15:E15"/>
    <mergeCell ref="A2:E2"/>
    <mergeCell ref="B14:E14"/>
  </mergeCells>
  <printOptions/>
  <pageMargins left="0.7" right="0.7" top="0.75" bottom="0.75" header="0.3" footer="0.3"/>
  <pageSetup fitToWidth="0" fitToHeight="1"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90" zoomScaleNormal="90" zoomScalePageLayoutView="0" workbookViewId="0" topLeftCell="A1">
      <selection activeCell="G30" sqref="G30"/>
    </sheetView>
  </sheetViews>
  <sheetFormatPr defaultColWidth="9.00390625" defaultRowHeight="12.75"/>
  <cols>
    <col min="2" max="2" width="8.00390625" style="0" customWidth="1"/>
    <col min="3" max="3" width="40.25390625" style="0" customWidth="1"/>
    <col min="4" max="4" width="13.875" style="0" customWidth="1"/>
    <col min="5" max="5" width="15.00390625" style="0" hidden="1" customWidth="1"/>
    <col min="6" max="7" width="18.00390625" style="0" customWidth="1"/>
    <col min="8" max="9" width="16.375" style="0" customWidth="1"/>
    <col min="10" max="10" width="13.625" style="0" customWidth="1"/>
  </cols>
  <sheetData>
    <row r="1" ht="12.75">
      <c r="A1" t="s">
        <v>425</v>
      </c>
    </row>
    <row r="2" spans="2:9" ht="12.75">
      <c r="B2" s="1930" t="s">
        <v>2282</v>
      </c>
      <c r="C2" s="1931"/>
      <c r="D2" s="1931"/>
      <c r="E2" s="564"/>
      <c r="F2" s="1932" t="s">
        <v>2312</v>
      </c>
      <c r="G2" s="1598"/>
      <c r="H2" s="124"/>
      <c r="I2" s="124"/>
    </row>
    <row r="3" spans="2:9" ht="12.75">
      <c r="B3" s="1931"/>
      <c r="C3" s="1931"/>
      <c r="D3" s="1931"/>
      <c r="E3" s="564"/>
      <c r="F3" s="1933"/>
      <c r="G3" s="1599"/>
      <c r="H3" s="124"/>
      <c r="I3" s="124"/>
    </row>
    <row r="4" spans="2:9" ht="60.75" customHeight="1">
      <c r="B4" s="610" t="s">
        <v>349</v>
      </c>
      <c r="C4" s="610" t="s">
        <v>350</v>
      </c>
      <c r="D4" s="610" t="s">
        <v>1559</v>
      </c>
      <c r="E4" s="610">
        <v>2008</v>
      </c>
      <c r="F4" s="1600" t="s">
        <v>680</v>
      </c>
      <c r="G4" s="610" t="s">
        <v>681</v>
      </c>
      <c r="H4" s="145"/>
      <c r="I4" s="145"/>
    </row>
    <row r="5" spans="2:9" ht="12.75">
      <c r="B5" s="610">
        <v>1</v>
      </c>
      <c r="C5" s="610">
        <v>2</v>
      </c>
      <c r="D5" s="610">
        <v>3</v>
      </c>
      <c r="E5" s="610">
        <v>4</v>
      </c>
      <c r="F5" s="610">
        <v>5</v>
      </c>
      <c r="G5" s="610"/>
      <c r="H5" s="859"/>
      <c r="I5" s="859"/>
    </row>
    <row r="6" spans="2:11" ht="12.75">
      <c r="B6" s="610" t="s">
        <v>1565</v>
      </c>
      <c r="C6" s="122" t="s">
        <v>351</v>
      </c>
      <c r="D6" s="610"/>
      <c r="E6" s="564"/>
      <c r="F6" s="357"/>
      <c r="G6" s="357"/>
      <c r="I6" s="146" t="s">
        <v>1178</v>
      </c>
      <c r="J6" s="146" t="s">
        <v>218</v>
      </c>
      <c r="K6" t="s">
        <v>219</v>
      </c>
    </row>
    <row r="7" spans="2:11" ht="12.75">
      <c r="B7" s="610"/>
      <c r="C7" s="122" t="s">
        <v>352</v>
      </c>
      <c r="D7" s="610" t="s">
        <v>353</v>
      </c>
      <c r="E7" s="123">
        <v>3</v>
      </c>
      <c r="F7" s="123">
        <v>5</v>
      </c>
      <c r="G7" s="123">
        <v>5</v>
      </c>
      <c r="I7" s="146">
        <f>4-J7-K7</f>
        <v>3.46</v>
      </c>
      <c r="J7" s="146">
        <v>0.32</v>
      </c>
      <c r="K7" s="146">
        <v>0.22</v>
      </c>
    </row>
    <row r="8" spans="2:13" ht="12.75">
      <c r="B8" s="610" t="s">
        <v>1597</v>
      </c>
      <c r="C8" s="122" t="s">
        <v>354</v>
      </c>
      <c r="D8" s="610"/>
      <c r="E8" s="123"/>
      <c r="F8" s="123"/>
      <c r="G8" s="123"/>
      <c r="I8" s="146"/>
      <c r="J8" s="146"/>
      <c r="K8" s="15"/>
      <c r="L8" s="15"/>
      <c r="M8" s="15"/>
    </row>
    <row r="9" spans="2:13" ht="12.75">
      <c r="B9" s="610" t="s">
        <v>355</v>
      </c>
      <c r="C9" s="122" t="s">
        <v>356</v>
      </c>
      <c r="D9" s="610" t="s">
        <v>236</v>
      </c>
      <c r="E9" s="137">
        <v>2611.84</v>
      </c>
      <c r="F9" s="152">
        <v>7182</v>
      </c>
      <c r="G9" s="152">
        <v>6000</v>
      </c>
      <c r="H9" s="144"/>
      <c r="I9" s="144"/>
      <c r="J9" s="144"/>
      <c r="K9" s="144"/>
      <c r="L9" s="15"/>
      <c r="M9" s="15"/>
    </row>
    <row r="10" spans="2:13" ht="12.75">
      <c r="B10" s="610" t="s">
        <v>357</v>
      </c>
      <c r="C10" s="122" t="s">
        <v>358</v>
      </c>
      <c r="D10" s="610"/>
      <c r="E10" s="123">
        <v>1.077</v>
      </c>
      <c r="F10" s="138">
        <v>1.054</v>
      </c>
      <c r="G10" s="138">
        <v>1.076</v>
      </c>
      <c r="H10" s="146"/>
      <c r="I10" s="146"/>
      <c r="J10" s="146"/>
      <c r="K10" s="15"/>
      <c r="L10" s="15"/>
      <c r="M10" s="15"/>
    </row>
    <row r="11" spans="2:13" ht="25.5">
      <c r="B11" s="610" t="s">
        <v>359</v>
      </c>
      <c r="C11" s="122" t="s">
        <v>2301</v>
      </c>
      <c r="D11" s="610" t="s">
        <v>236</v>
      </c>
      <c r="E11" s="137">
        <f>E9*E10</f>
        <v>2812.95168</v>
      </c>
      <c r="F11" s="152">
        <f>F9*F10</f>
        <v>7569.828</v>
      </c>
      <c r="G11" s="152">
        <f>(G9*G10+G9)/2</f>
        <v>6228</v>
      </c>
      <c r="H11" s="144"/>
      <c r="I11" s="144"/>
      <c r="J11" s="144"/>
      <c r="K11" s="15"/>
      <c r="L11" s="142"/>
      <c r="M11" s="15"/>
    </row>
    <row r="12" spans="2:13" ht="12.75">
      <c r="B12" s="610" t="s">
        <v>360</v>
      </c>
      <c r="C12" s="122" t="s">
        <v>381</v>
      </c>
      <c r="D12" s="610"/>
      <c r="E12" s="137">
        <v>4.5</v>
      </c>
      <c r="F12" s="123">
        <v>4.5</v>
      </c>
      <c r="G12" s="123"/>
      <c r="H12" s="144"/>
      <c r="I12" s="144"/>
      <c r="J12" s="144"/>
      <c r="K12" s="15"/>
      <c r="L12" s="15"/>
      <c r="M12" s="15"/>
    </row>
    <row r="13" spans="2:13" ht="25.5">
      <c r="B13" s="610" t="s">
        <v>382</v>
      </c>
      <c r="C13" s="122" t="s">
        <v>2302</v>
      </c>
      <c r="D13" s="610" t="s">
        <v>236</v>
      </c>
      <c r="E13" s="137">
        <v>1.44</v>
      </c>
      <c r="F13" s="123">
        <v>1.44</v>
      </c>
      <c r="G13" s="123"/>
      <c r="H13" s="144"/>
      <c r="I13" s="144"/>
      <c r="J13" s="144"/>
      <c r="K13" s="15"/>
      <c r="L13" s="15"/>
      <c r="M13" s="15"/>
    </row>
    <row r="14" spans="2:13" ht="12.75">
      <c r="B14" s="610" t="s">
        <v>383</v>
      </c>
      <c r="C14" s="122" t="s">
        <v>384</v>
      </c>
      <c r="D14" s="610" t="s">
        <v>385</v>
      </c>
      <c r="E14" s="138">
        <f>(E9+E11)/2*E13</f>
        <v>3905.8500096000002</v>
      </c>
      <c r="F14" s="1587">
        <f>F11*F13</f>
        <v>10900.55232</v>
      </c>
      <c r="G14" s="1587">
        <f>F14</f>
        <v>10900.55232</v>
      </c>
      <c r="H14" s="143"/>
      <c r="I14" s="143"/>
      <c r="J14" s="143"/>
      <c r="K14" s="15"/>
      <c r="L14" s="15"/>
      <c r="M14" s="15"/>
    </row>
    <row r="15" spans="2:13" ht="25.5">
      <c r="B15" s="610" t="s">
        <v>386</v>
      </c>
      <c r="C15" s="122" t="s">
        <v>2303</v>
      </c>
      <c r="D15" s="610"/>
      <c r="E15" s="123"/>
      <c r="F15" s="123"/>
      <c r="G15" s="123"/>
      <c r="H15" s="146"/>
      <c r="I15" s="146"/>
      <c r="J15" s="146"/>
      <c r="K15" s="15"/>
      <c r="L15" s="15"/>
      <c r="M15" s="15"/>
    </row>
    <row r="16" spans="2:13" ht="12.75">
      <c r="B16" s="610" t="s">
        <v>387</v>
      </c>
      <c r="C16" s="122" t="s">
        <v>388</v>
      </c>
      <c r="D16" s="610" t="s">
        <v>1592</v>
      </c>
      <c r="E16" s="993">
        <v>0.1</v>
      </c>
      <c r="F16" s="763">
        <v>0.13</v>
      </c>
      <c r="G16" s="764">
        <v>0.1</v>
      </c>
      <c r="H16" s="1589"/>
      <c r="I16" s="1589"/>
      <c r="J16" s="1589"/>
      <c r="K16" s="15"/>
      <c r="L16" s="15"/>
      <c r="M16" s="15"/>
    </row>
    <row r="17" spans="2:13" ht="12.75">
      <c r="B17" s="610" t="s">
        <v>389</v>
      </c>
      <c r="C17" s="122" t="s">
        <v>390</v>
      </c>
      <c r="D17" s="610" t="s">
        <v>236</v>
      </c>
      <c r="E17" s="137">
        <f>E14*E16</f>
        <v>390.58500096000006</v>
      </c>
      <c r="F17" s="152">
        <f>F14*F16</f>
        <v>1417.0718016</v>
      </c>
      <c r="G17" s="152">
        <f>G14*G16</f>
        <v>1090.0552320000002</v>
      </c>
      <c r="H17" s="1590"/>
      <c r="I17" s="1590"/>
      <c r="J17" s="1590"/>
      <c r="K17" s="15"/>
      <c r="L17" s="15"/>
      <c r="M17" s="15"/>
    </row>
    <row r="18" spans="2:13" ht="12.75">
      <c r="B18" s="610" t="s">
        <v>391</v>
      </c>
      <c r="C18" s="122" t="s">
        <v>392</v>
      </c>
      <c r="D18" s="610"/>
      <c r="E18" s="123"/>
      <c r="F18" s="123"/>
      <c r="G18" s="123"/>
      <c r="H18" s="1591"/>
      <c r="I18" s="1591"/>
      <c r="J18" s="1591"/>
      <c r="K18" s="15"/>
      <c r="L18" s="15"/>
      <c r="M18" s="15"/>
    </row>
    <row r="19" spans="2:13" ht="12.75">
      <c r="B19" s="610" t="s">
        <v>393</v>
      </c>
      <c r="C19" s="122" t="s">
        <v>394</v>
      </c>
      <c r="D19" s="610" t="s">
        <v>1592</v>
      </c>
      <c r="E19" s="993">
        <v>0.72</v>
      </c>
      <c r="F19" s="763">
        <v>0.4</v>
      </c>
      <c r="G19" s="763">
        <v>0.3</v>
      </c>
      <c r="H19" s="1589"/>
      <c r="I19" s="1589"/>
      <c r="J19" s="1589"/>
      <c r="K19" s="15"/>
      <c r="L19" s="15"/>
      <c r="M19" s="15"/>
    </row>
    <row r="20" spans="2:13" ht="12.75">
      <c r="B20" s="610" t="s">
        <v>395</v>
      </c>
      <c r="C20" s="122" t="s">
        <v>390</v>
      </c>
      <c r="D20" s="610" t="s">
        <v>236</v>
      </c>
      <c r="E20" s="137">
        <f>(E14+E17)*E19</f>
        <v>3093.4332076032</v>
      </c>
      <c r="F20" s="152">
        <v>4360.22</v>
      </c>
      <c r="G20" s="152">
        <f>(G14+G17)*G19</f>
        <v>3597.1822656000004</v>
      </c>
      <c r="H20" s="1590"/>
      <c r="I20" s="1590"/>
      <c r="J20" s="1590"/>
      <c r="K20" s="15"/>
      <c r="L20" s="15"/>
      <c r="M20" s="15"/>
    </row>
    <row r="21" spans="2:13" ht="12.75">
      <c r="B21" s="610" t="s">
        <v>396</v>
      </c>
      <c r="C21" s="122" t="s">
        <v>397</v>
      </c>
      <c r="D21" s="610"/>
      <c r="E21" s="123"/>
      <c r="F21" s="123"/>
      <c r="G21" s="123"/>
      <c r="H21" s="1591"/>
      <c r="I21" s="1591"/>
      <c r="J21" s="1591"/>
      <c r="K21" s="15"/>
      <c r="L21" s="15"/>
      <c r="M21" s="15"/>
    </row>
    <row r="22" spans="2:13" ht="12.75">
      <c r="B22" s="610" t="s">
        <v>398</v>
      </c>
      <c r="C22" s="122" t="s">
        <v>394</v>
      </c>
      <c r="D22" s="610" t="s">
        <v>1592</v>
      </c>
      <c r="E22" s="993">
        <v>0.06</v>
      </c>
      <c r="F22" s="764">
        <v>0.15</v>
      </c>
      <c r="G22" s="763">
        <v>0.15</v>
      </c>
      <c r="H22" s="1589"/>
      <c r="I22" s="1589"/>
      <c r="J22" s="1589"/>
      <c r="K22" s="15"/>
      <c r="L22" s="15"/>
      <c r="M22" s="15"/>
    </row>
    <row r="23" spans="2:13" ht="12.75">
      <c r="B23" s="610" t="s">
        <v>399</v>
      </c>
      <c r="C23" s="122" t="s">
        <v>390</v>
      </c>
      <c r="D23" s="610" t="s">
        <v>236</v>
      </c>
      <c r="E23" s="138">
        <f>E14*E22</f>
        <v>234.35100057600002</v>
      </c>
      <c r="F23" s="1587">
        <f>F14*F22</f>
        <v>1635.082848</v>
      </c>
      <c r="G23" s="1587">
        <f>G14*G22</f>
        <v>1635.082848</v>
      </c>
      <c r="H23" s="1592"/>
      <c r="I23" s="1592"/>
      <c r="J23" s="1592"/>
      <c r="K23" s="15"/>
      <c r="L23" s="15"/>
      <c r="M23" s="15"/>
    </row>
    <row r="24" spans="2:13" ht="12.75">
      <c r="B24" s="610" t="s">
        <v>400</v>
      </c>
      <c r="C24" s="122" t="s">
        <v>401</v>
      </c>
      <c r="D24" s="610"/>
      <c r="E24" s="123"/>
      <c r="F24" s="123"/>
      <c r="G24" s="123"/>
      <c r="H24" s="1591"/>
      <c r="I24" s="1591"/>
      <c r="J24" s="1591"/>
      <c r="K24" s="15"/>
      <c r="L24" s="15"/>
      <c r="M24" s="15"/>
    </row>
    <row r="25" spans="2:13" ht="12.75">
      <c r="B25" s="610" t="s">
        <v>402</v>
      </c>
      <c r="C25" s="122" t="s">
        <v>394</v>
      </c>
      <c r="D25" s="610" t="s">
        <v>1592</v>
      </c>
      <c r="E25" s="765">
        <v>0</v>
      </c>
      <c r="F25" s="765">
        <v>0.33</v>
      </c>
      <c r="G25" s="765">
        <v>0.3</v>
      </c>
      <c r="H25" s="1593"/>
      <c r="I25" s="1593"/>
      <c r="J25" s="1593"/>
      <c r="K25" s="15"/>
      <c r="L25" s="15"/>
      <c r="M25" s="15"/>
    </row>
    <row r="26" spans="2:13" ht="12.75">
      <c r="B26" s="610" t="s">
        <v>403</v>
      </c>
      <c r="C26" s="122" t="s">
        <v>390</v>
      </c>
      <c r="D26" s="610" t="s">
        <v>236</v>
      </c>
      <c r="E26" s="137">
        <f>E14*E25</f>
        <v>0</v>
      </c>
      <c r="F26" s="152">
        <f>F14*F25</f>
        <v>3597.1822656000004</v>
      </c>
      <c r="G26" s="152">
        <f>G14*G25</f>
        <v>3270.165696</v>
      </c>
      <c r="H26" s="1590"/>
      <c r="I26" s="1590"/>
      <c r="J26" s="1590"/>
      <c r="K26" s="825"/>
      <c r="L26" s="15"/>
      <c r="M26" s="15"/>
    </row>
    <row r="27" spans="2:13" ht="25.5">
      <c r="B27" s="610" t="s">
        <v>404</v>
      </c>
      <c r="C27" s="122" t="s">
        <v>2304</v>
      </c>
      <c r="D27" s="610"/>
      <c r="E27" s="123"/>
      <c r="F27" s="123"/>
      <c r="G27" s="123"/>
      <c r="H27" s="1591"/>
      <c r="I27" s="1591"/>
      <c r="J27" s="1591"/>
      <c r="K27" s="611"/>
      <c r="L27" s="15"/>
      <c r="M27" s="15"/>
    </row>
    <row r="28" spans="2:13" ht="12.75">
      <c r="B28" s="610" t="s">
        <v>405</v>
      </c>
      <c r="C28" s="122" t="s">
        <v>394</v>
      </c>
      <c r="D28" s="610" t="s">
        <v>1592</v>
      </c>
      <c r="E28" s="763">
        <v>0</v>
      </c>
      <c r="F28" s="763"/>
      <c r="G28" s="763">
        <v>0</v>
      </c>
      <c r="H28" s="1589"/>
      <c r="I28" s="1589"/>
      <c r="J28" s="1589"/>
      <c r="K28" s="15"/>
      <c r="L28" s="15"/>
      <c r="M28" s="15"/>
    </row>
    <row r="29" spans="2:13" ht="12.75">
      <c r="B29" s="610" t="s">
        <v>406</v>
      </c>
      <c r="C29" s="122" t="s">
        <v>390</v>
      </c>
      <c r="D29" s="610" t="s">
        <v>236</v>
      </c>
      <c r="E29" s="137">
        <f>E17*E28</f>
        <v>0</v>
      </c>
      <c r="F29" s="137"/>
      <c r="G29" s="137">
        <f>G17*G28</f>
        <v>0</v>
      </c>
      <c r="H29" s="144"/>
      <c r="I29" s="144"/>
      <c r="J29" s="144"/>
      <c r="K29" s="15"/>
      <c r="L29" s="15"/>
      <c r="M29" s="15"/>
    </row>
    <row r="30" spans="2:13" ht="23.25" customHeight="1">
      <c r="B30" s="610" t="s">
        <v>407</v>
      </c>
      <c r="C30" s="122" t="s">
        <v>2305</v>
      </c>
      <c r="D30" s="610" t="s">
        <v>236</v>
      </c>
      <c r="E30" s="137">
        <v>7624.22</v>
      </c>
      <c r="F30" s="152">
        <f>F14+F17+F20+F23+F26+F29</f>
        <v>21910.109235200005</v>
      </c>
      <c r="G30" s="152">
        <f>G14+G17+G20+G23+G26+G29</f>
        <v>20493.0383616</v>
      </c>
      <c r="H30" s="144"/>
      <c r="I30" s="144"/>
      <c r="J30" s="144"/>
      <c r="K30" s="1594"/>
      <c r="L30" s="1594"/>
      <c r="M30" s="1595"/>
    </row>
    <row r="31" spans="2:13" ht="47.25">
      <c r="B31" s="1601" t="s">
        <v>1598</v>
      </c>
      <c r="C31" s="855" t="s">
        <v>2306</v>
      </c>
      <c r="D31" s="610" t="s">
        <v>237</v>
      </c>
      <c r="E31" s="766">
        <f>E30*12*E7/1000</f>
        <v>274.47192</v>
      </c>
      <c r="F31" s="1588">
        <f>F30*12*F7/1000</f>
        <v>1314.6065541120001</v>
      </c>
      <c r="G31" s="1588">
        <f>G30*G7*12/1000</f>
        <v>1229.582301696</v>
      </c>
      <c r="H31" s="1596">
        <f>'НВВ 2'!G42</f>
        <v>902.8558945114827</v>
      </c>
      <c r="I31" s="1596">
        <f>H31*1.067</f>
        <v>963.347239443752</v>
      </c>
      <c r="J31" s="1596">
        <f>I31/5/12</f>
        <v>16.055787324062532</v>
      </c>
      <c r="K31" s="1597"/>
      <c r="L31" s="70"/>
      <c r="M31" s="15"/>
    </row>
    <row r="32" spans="2:13" ht="12.75">
      <c r="B32" s="610" t="s">
        <v>408</v>
      </c>
      <c r="C32" s="122" t="s">
        <v>409</v>
      </c>
      <c r="D32" s="610" t="s">
        <v>237</v>
      </c>
      <c r="E32" s="123"/>
      <c r="F32" s="123"/>
      <c r="G32" s="123"/>
      <c r="H32" s="146"/>
      <c r="I32" s="146"/>
      <c r="J32" s="15"/>
      <c r="K32" s="15"/>
      <c r="L32" s="15"/>
      <c r="M32" s="15"/>
    </row>
    <row r="33" spans="2:13" ht="12.75">
      <c r="B33" s="610" t="s">
        <v>410</v>
      </c>
      <c r="C33" s="122" t="s">
        <v>411</v>
      </c>
      <c r="D33" s="610" t="s">
        <v>385</v>
      </c>
      <c r="E33" s="123"/>
      <c r="F33" s="123"/>
      <c r="G33" s="123"/>
      <c r="H33" s="146"/>
      <c r="I33" s="146"/>
      <c r="J33" s="15"/>
      <c r="K33" s="15"/>
      <c r="L33" s="15"/>
      <c r="M33" s="15"/>
    </row>
    <row r="34" spans="2:13" ht="12.75">
      <c r="B34" s="610" t="s">
        <v>412</v>
      </c>
      <c r="C34" s="122" t="s">
        <v>413</v>
      </c>
      <c r="D34" s="610" t="s">
        <v>385</v>
      </c>
      <c r="E34" s="123"/>
      <c r="F34" s="137"/>
      <c r="G34" s="137"/>
      <c r="H34" s="146"/>
      <c r="I34" s="146"/>
      <c r="J34" s="15"/>
      <c r="K34" s="15"/>
      <c r="L34" s="15"/>
      <c r="M34" s="15"/>
    </row>
    <row r="35" spans="2:13" ht="38.25">
      <c r="B35" s="610" t="s">
        <v>1599</v>
      </c>
      <c r="C35" s="122" t="s">
        <v>2307</v>
      </c>
      <c r="D35" s="610"/>
      <c r="E35" s="123"/>
      <c r="F35" s="123"/>
      <c r="G35" s="123"/>
      <c r="H35" s="146"/>
      <c r="I35" s="146"/>
      <c r="J35" s="15"/>
      <c r="K35" s="15"/>
      <c r="L35" s="15"/>
      <c r="M35" s="15"/>
    </row>
    <row r="36" spans="2:9" ht="25.5">
      <c r="B36" s="610" t="s">
        <v>414</v>
      </c>
      <c r="C36" s="122" t="s">
        <v>2308</v>
      </c>
      <c r="D36" s="610" t="s">
        <v>353</v>
      </c>
      <c r="E36" s="123"/>
      <c r="F36" s="123"/>
      <c r="G36" s="123"/>
      <c r="H36" s="146"/>
      <c r="I36" s="146"/>
    </row>
    <row r="37" spans="2:9" ht="25.5">
      <c r="B37" s="610" t="s">
        <v>415</v>
      </c>
      <c r="C37" s="122" t="s">
        <v>2309</v>
      </c>
      <c r="D37" s="610" t="s">
        <v>236</v>
      </c>
      <c r="E37" s="123"/>
      <c r="F37" s="123"/>
      <c r="G37" s="123"/>
      <c r="H37" s="146"/>
      <c r="I37" s="146"/>
    </row>
    <row r="38" spans="2:9" ht="12.75">
      <c r="B38" s="610" t="s">
        <v>416</v>
      </c>
      <c r="C38" s="122" t="s">
        <v>409</v>
      </c>
      <c r="D38" s="610" t="s">
        <v>237</v>
      </c>
      <c r="E38" s="123"/>
      <c r="F38" s="123"/>
      <c r="G38" s="123"/>
      <c r="H38" s="146"/>
      <c r="I38" s="146"/>
    </row>
    <row r="39" spans="2:9" ht="12.75">
      <c r="B39" s="610" t="s">
        <v>417</v>
      </c>
      <c r="C39" s="122" t="s">
        <v>411</v>
      </c>
      <c r="D39" s="610" t="s">
        <v>237</v>
      </c>
      <c r="E39" s="123"/>
      <c r="F39" s="123"/>
      <c r="G39" s="123"/>
      <c r="H39" s="146"/>
      <c r="I39" s="146"/>
    </row>
    <row r="40" spans="2:9" ht="25.5">
      <c r="B40" s="610" t="s">
        <v>418</v>
      </c>
      <c r="C40" s="122" t="s">
        <v>2310</v>
      </c>
      <c r="D40" s="610" t="s">
        <v>237</v>
      </c>
      <c r="E40" s="123"/>
      <c r="F40" s="137"/>
      <c r="G40" s="137"/>
      <c r="H40" s="144"/>
      <c r="I40" s="144"/>
    </row>
    <row r="41" spans="2:9" ht="12.75">
      <c r="B41" s="610" t="s">
        <v>299</v>
      </c>
      <c r="C41" s="122" t="s">
        <v>419</v>
      </c>
      <c r="D41" s="610"/>
      <c r="E41" s="123"/>
      <c r="F41" s="123"/>
      <c r="G41" s="123"/>
      <c r="H41" s="146"/>
      <c r="I41" s="146"/>
    </row>
    <row r="42" spans="2:9" ht="25.5">
      <c r="B42" s="610" t="s">
        <v>301</v>
      </c>
      <c r="C42" s="122" t="s">
        <v>2311</v>
      </c>
      <c r="D42" s="610" t="s">
        <v>353</v>
      </c>
      <c r="E42" s="123"/>
      <c r="F42" s="123"/>
      <c r="G42" s="123"/>
      <c r="H42" s="146"/>
      <c r="I42" s="146"/>
    </row>
    <row r="43" spans="2:9" ht="12.75">
      <c r="B43" s="610" t="s">
        <v>302</v>
      </c>
      <c r="C43" s="122" t="s">
        <v>420</v>
      </c>
      <c r="D43" s="610" t="s">
        <v>236</v>
      </c>
      <c r="E43" s="123"/>
      <c r="F43" s="123"/>
      <c r="G43" s="123"/>
      <c r="H43" s="146"/>
      <c r="I43" s="146"/>
    </row>
    <row r="44" spans="2:9" ht="12.75">
      <c r="B44" s="610" t="s">
        <v>421</v>
      </c>
      <c r="C44" s="122" t="s">
        <v>422</v>
      </c>
      <c r="D44" s="610" t="s">
        <v>1575</v>
      </c>
      <c r="E44" s="123"/>
      <c r="F44" s="123"/>
      <c r="G44" s="123"/>
      <c r="H44" s="146"/>
      <c r="I44" s="146"/>
    </row>
    <row r="45" spans="2:9" ht="12.75">
      <c r="B45" s="610" t="s">
        <v>304</v>
      </c>
      <c r="C45" s="122" t="s">
        <v>423</v>
      </c>
      <c r="D45" s="610" t="s">
        <v>1575</v>
      </c>
      <c r="E45" s="123"/>
      <c r="F45" s="123"/>
      <c r="G45" s="123"/>
      <c r="H45" s="146"/>
      <c r="I45" s="146"/>
    </row>
    <row r="46" spans="2:9" ht="12.75">
      <c r="B46" s="610" t="s">
        <v>306</v>
      </c>
      <c r="C46" s="122" t="s">
        <v>424</v>
      </c>
      <c r="D46" s="610" t="s">
        <v>236</v>
      </c>
      <c r="E46" s="123"/>
      <c r="F46" s="137"/>
      <c r="G46" s="137"/>
      <c r="H46" s="144"/>
      <c r="I46" s="144"/>
    </row>
    <row r="48" spans="2:7" ht="12.75">
      <c r="B48" s="1878" t="s">
        <v>427</v>
      </c>
      <c r="C48" s="1878"/>
      <c r="D48" s="1878"/>
      <c r="E48" s="1878"/>
      <c r="F48" s="1878"/>
      <c r="G48" s="1085"/>
    </row>
    <row r="49" spans="2:7" ht="12.75">
      <c r="B49" s="1878"/>
      <c r="C49" s="1878"/>
      <c r="D49" s="1878"/>
      <c r="E49" s="1878"/>
      <c r="F49" s="1878"/>
      <c r="G49" s="1085"/>
    </row>
    <row r="51" spans="3:7" ht="12.75">
      <c r="C51" s="837" t="s">
        <v>2451</v>
      </c>
      <c r="D51" s="838" t="s">
        <v>507</v>
      </c>
      <c r="E51" s="838" t="s">
        <v>2449</v>
      </c>
      <c r="F51" s="839" t="s">
        <v>2450</v>
      </c>
      <c r="G51" s="15"/>
    </row>
    <row r="52" spans="3:7" ht="12.75">
      <c r="C52" s="840">
        <v>39356</v>
      </c>
      <c r="D52" s="687">
        <v>10751</v>
      </c>
      <c r="E52" s="687">
        <v>1155</v>
      </c>
      <c r="F52" s="841">
        <f>D52/E52</f>
        <v>9.308225108225109</v>
      </c>
      <c r="G52" s="686"/>
    </row>
    <row r="53" spans="3:7" ht="12.75">
      <c r="C53" s="842">
        <v>39052</v>
      </c>
      <c r="D53" s="15">
        <v>8929.1</v>
      </c>
      <c r="E53" s="15">
        <v>1188</v>
      </c>
      <c r="F53" s="843">
        <f aca="true" t="shared" si="0" ref="F53:F64">D53/E53</f>
        <v>7.516077441077441</v>
      </c>
      <c r="G53" s="611"/>
    </row>
    <row r="54" spans="3:7" ht="12.75">
      <c r="C54" s="842">
        <v>39022</v>
      </c>
      <c r="D54" s="15">
        <v>8942.9</v>
      </c>
      <c r="E54" s="15">
        <v>1186</v>
      </c>
      <c r="F54" s="843">
        <f t="shared" si="0"/>
        <v>7.540387858347386</v>
      </c>
      <c r="G54" s="611"/>
    </row>
    <row r="55" spans="3:7" ht="12.75">
      <c r="C55" s="842">
        <v>38991</v>
      </c>
      <c r="D55" s="15">
        <v>9398.4</v>
      </c>
      <c r="E55" s="15">
        <v>1178</v>
      </c>
      <c r="F55" s="843">
        <f t="shared" si="0"/>
        <v>7.978268251273344</v>
      </c>
      <c r="G55" s="611"/>
    </row>
    <row r="56" spans="3:7" ht="12.75">
      <c r="C56" s="842">
        <v>38961</v>
      </c>
      <c r="D56" s="15">
        <v>8551.7</v>
      </c>
      <c r="E56" s="15">
        <v>1169</v>
      </c>
      <c r="F56" s="843">
        <f t="shared" si="0"/>
        <v>7.315397775876819</v>
      </c>
      <c r="G56" s="611"/>
    </row>
    <row r="57" spans="3:7" ht="12.75">
      <c r="C57" s="842">
        <v>38930</v>
      </c>
      <c r="D57" s="15">
        <v>8461.7</v>
      </c>
      <c r="E57" s="15">
        <v>1167</v>
      </c>
      <c r="F57" s="843">
        <f t="shared" si="0"/>
        <v>7.250814053127678</v>
      </c>
      <c r="G57" s="611"/>
    </row>
    <row r="58" spans="3:7" ht="12.75">
      <c r="C58" s="842">
        <v>38899</v>
      </c>
      <c r="D58" s="15">
        <v>8302.7</v>
      </c>
      <c r="E58" s="15">
        <v>1154</v>
      </c>
      <c r="F58" s="843">
        <f t="shared" si="0"/>
        <v>7.19471403812825</v>
      </c>
      <c r="G58" s="611"/>
    </row>
    <row r="59" spans="3:7" ht="12.75">
      <c r="C59" s="842">
        <v>38869</v>
      </c>
      <c r="D59" s="15">
        <v>8217.4</v>
      </c>
      <c r="E59" s="15">
        <v>1158</v>
      </c>
      <c r="F59" s="843">
        <f t="shared" si="0"/>
        <v>7.096200345423143</v>
      </c>
      <c r="G59" s="611"/>
    </row>
    <row r="60" spans="3:7" ht="12.75">
      <c r="C60" s="842">
        <v>38838</v>
      </c>
      <c r="D60" s="15">
        <v>7917.5</v>
      </c>
      <c r="E60" s="15">
        <v>1174</v>
      </c>
      <c r="F60" s="843">
        <f t="shared" si="0"/>
        <v>6.744037478705281</v>
      </c>
      <c r="G60" s="611"/>
    </row>
    <row r="61" spans="3:7" ht="12.75">
      <c r="C61" s="842">
        <v>38808</v>
      </c>
      <c r="D61" s="15">
        <v>7220.5</v>
      </c>
      <c r="E61" s="15">
        <v>1183</v>
      </c>
      <c r="F61" s="843">
        <f t="shared" si="0"/>
        <v>6.103550295857988</v>
      </c>
      <c r="G61" s="611"/>
    </row>
    <row r="62" spans="3:7" ht="12.75">
      <c r="C62" s="842">
        <v>38777</v>
      </c>
      <c r="D62" s="15">
        <v>7416.6</v>
      </c>
      <c r="E62" s="15">
        <v>1191</v>
      </c>
      <c r="F62" s="843">
        <f t="shared" si="0"/>
        <v>6.227204030226701</v>
      </c>
      <c r="G62" s="611"/>
    </row>
    <row r="63" spans="3:7" ht="12.75">
      <c r="C63" s="842">
        <v>38749</v>
      </c>
      <c r="D63" s="15">
        <v>6819</v>
      </c>
      <c r="E63" s="15">
        <v>1194</v>
      </c>
      <c r="F63" s="843">
        <f t="shared" si="0"/>
        <v>5.711055276381909</v>
      </c>
      <c r="G63" s="611"/>
    </row>
    <row r="64" spans="3:7" ht="12.75">
      <c r="C64" s="842">
        <v>38718</v>
      </c>
      <c r="D64" s="15">
        <v>6425.7</v>
      </c>
      <c r="E64" s="15">
        <v>1199</v>
      </c>
      <c r="F64" s="843">
        <f t="shared" si="0"/>
        <v>5.3592160133444535</v>
      </c>
      <c r="G64" s="611"/>
    </row>
    <row r="65" spans="3:7" ht="12.75">
      <c r="C65" s="844" t="s">
        <v>505</v>
      </c>
      <c r="D65" s="15">
        <f>SUM(D53:D64)</f>
        <v>96603.2</v>
      </c>
      <c r="E65" s="15"/>
      <c r="F65" s="862">
        <f>SUM(F53:F64)/12</f>
        <v>6.836410238147533</v>
      </c>
      <c r="G65" s="1089"/>
    </row>
    <row r="66" spans="3:7" ht="12.75">
      <c r="C66" s="845" t="s">
        <v>506</v>
      </c>
      <c r="D66" s="15">
        <v>790</v>
      </c>
      <c r="E66" s="15"/>
      <c r="F66" s="846"/>
      <c r="G66" s="15"/>
    </row>
    <row r="67" spans="3:7" ht="12" customHeight="1">
      <c r="C67" s="845" t="s">
        <v>510</v>
      </c>
      <c r="D67" s="15">
        <f>D65*1.08</f>
        <v>104331.456</v>
      </c>
      <c r="E67" s="15"/>
      <c r="F67" s="846"/>
      <c r="G67" s="15"/>
    </row>
    <row r="68" spans="3:7" ht="12.75">
      <c r="C68" s="845" t="s">
        <v>1534</v>
      </c>
      <c r="D68" s="825" t="e">
        <f>#REF!/1.077/D66</f>
        <v>#REF!</v>
      </c>
      <c r="E68" s="15"/>
      <c r="F68" s="846"/>
      <c r="G68" s="15"/>
    </row>
    <row r="69" spans="3:7" ht="12.75">
      <c r="C69" s="845" t="s">
        <v>508</v>
      </c>
      <c r="D69" s="825">
        <f>D66/D67</f>
        <v>0.007572021232024213</v>
      </c>
      <c r="E69" s="15"/>
      <c r="F69" s="846"/>
      <c r="G69" s="15"/>
    </row>
    <row r="70" spans="3:7" ht="12.75">
      <c r="C70" s="847" t="s">
        <v>509</v>
      </c>
      <c r="D70" s="848" t="e">
        <f>#REF!/1.077/D67</f>
        <v>#REF!</v>
      </c>
      <c r="E70" s="849"/>
      <c r="F70" s="850"/>
      <c r="G70" s="15"/>
    </row>
  </sheetData>
  <sheetProtection/>
  <mergeCells count="3">
    <mergeCell ref="B2:D3"/>
    <mergeCell ref="F2:F3"/>
    <mergeCell ref="B48:F49"/>
  </mergeCells>
  <printOptions horizontalCentered="1" verticalCentered="1"/>
  <pageMargins left="0.7874015748031497" right="0.35433070866141736" top="0.984251968503937" bottom="0.984251968503937" header="0.5118110236220472" footer="0.5118110236220472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5" sqref="A5"/>
    </sheetView>
  </sheetViews>
  <sheetFormatPr defaultColWidth="9.00390625" defaultRowHeight="12.75"/>
  <cols>
    <col min="3" max="3" width="49.125" style="0" customWidth="1"/>
    <col min="4" max="4" width="14.75390625" style="0" customWidth="1"/>
    <col min="5" max="5" width="14.125" style="0" customWidth="1"/>
  </cols>
  <sheetData>
    <row r="1" ht="13.5" thickBot="1">
      <c r="A1" s="53" t="s">
        <v>1613</v>
      </c>
    </row>
    <row r="2" spans="1:5" ht="12.75" customHeight="1">
      <c r="A2" s="53" t="s">
        <v>1612</v>
      </c>
      <c r="B2" s="1754" t="s">
        <v>1497</v>
      </c>
      <c r="C2" s="1755"/>
      <c r="D2" s="1749" t="s">
        <v>1498</v>
      </c>
      <c r="E2" s="1743" t="s">
        <v>1496</v>
      </c>
    </row>
    <row r="3" spans="2:5" ht="13.5" thickBot="1">
      <c r="B3" s="1758"/>
      <c r="C3" s="1759"/>
      <c r="D3" s="1750"/>
      <c r="E3" s="1748"/>
    </row>
    <row r="4" spans="2:5" ht="25.5">
      <c r="B4" s="13" t="s">
        <v>1418</v>
      </c>
      <c r="C4" s="3" t="s">
        <v>1382</v>
      </c>
      <c r="D4" s="3" t="s">
        <v>1414</v>
      </c>
      <c r="E4" s="4" t="s">
        <v>1415</v>
      </c>
    </row>
    <row r="5" spans="2:5" ht="12.75">
      <c r="B5" s="18">
        <v>1</v>
      </c>
      <c r="C5" s="16">
        <v>2</v>
      </c>
      <c r="D5" s="16">
        <v>3</v>
      </c>
      <c r="E5" s="19">
        <v>4</v>
      </c>
    </row>
    <row r="6" spans="2:5" ht="12.75">
      <c r="B6" s="20" t="s">
        <v>1420</v>
      </c>
      <c r="C6" s="17" t="s">
        <v>1474</v>
      </c>
      <c r="D6" s="17"/>
      <c r="E6" s="21"/>
    </row>
    <row r="7" spans="2:5" ht="12.75">
      <c r="B7" s="20" t="s">
        <v>1457</v>
      </c>
      <c r="C7" s="17" t="s">
        <v>1475</v>
      </c>
      <c r="D7" s="17"/>
      <c r="E7" s="21"/>
    </row>
    <row r="8" spans="2:5" ht="12.75">
      <c r="B8" s="20" t="s">
        <v>1476</v>
      </c>
      <c r="C8" s="17" t="s">
        <v>1477</v>
      </c>
      <c r="D8" s="17"/>
      <c r="E8" s="21"/>
    </row>
    <row r="9" spans="2:5" ht="12.75">
      <c r="B9" s="20" t="s">
        <v>1478</v>
      </c>
      <c r="C9" s="17" t="s">
        <v>1479</v>
      </c>
      <c r="D9" s="17"/>
      <c r="E9" s="21"/>
    </row>
    <row r="10" spans="2:5" ht="25.5">
      <c r="B10" s="20" t="s">
        <v>1480</v>
      </c>
      <c r="C10" s="17" t="s">
        <v>1493</v>
      </c>
      <c r="D10" s="17"/>
      <c r="E10" s="21"/>
    </row>
    <row r="11" spans="2:5" ht="12.75">
      <c r="B11" s="20" t="s">
        <v>1459</v>
      </c>
      <c r="C11" s="17" t="s">
        <v>1481</v>
      </c>
      <c r="D11" s="17"/>
      <c r="E11" s="21"/>
    </row>
    <row r="12" spans="2:5" ht="12.75">
      <c r="B12" s="20"/>
      <c r="C12" s="17" t="s">
        <v>1482</v>
      </c>
      <c r="D12" s="17"/>
      <c r="E12" s="21"/>
    </row>
    <row r="13" spans="2:5" ht="25.5" customHeight="1">
      <c r="B13" s="20" t="s">
        <v>1399</v>
      </c>
      <c r="C13" s="17" t="s">
        <v>1494</v>
      </c>
      <c r="D13" s="17"/>
      <c r="E13" s="21"/>
    </row>
    <row r="14" spans="2:5" ht="12.75">
      <c r="B14" s="20"/>
      <c r="C14" s="17" t="s">
        <v>1483</v>
      </c>
      <c r="D14" s="17"/>
      <c r="E14" s="21"/>
    </row>
    <row r="15" spans="2:5" ht="12.75">
      <c r="B15" s="20"/>
      <c r="C15" s="17" t="s">
        <v>1484</v>
      </c>
      <c r="D15" s="17"/>
      <c r="E15" s="21"/>
    </row>
    <row r="16" spans="2:5" ht="12.75">
      <c r="B16" s="20"/>
      <c r="C16" s="17" t="s">
        <v>1485</v>
      </c>
      <c r="D16" s="17"/>
      <c r="E16" s="21"/>
    </row>
    <row r="17" spans="2:5" ht="24.75">
      <c r="B17" s="20" t="s">
        <v>1486</v>
      </c>
      <c r="C17" s="17" t="s">
        <v>1495</v>
      </c>
      <c r="D17" s="17"/>
      <c r="E17" s="21"/>
    </row>
    <row r="18" spans="2:5" ht="12.75">
      <c r="B18" s="20" t="s">
        <v>1487</v>
      </c>
      <c r="C18" s="17" t="s">
        <v>1488</v>
      </c>
      <c r="D18" s="17"/>
      <c r="E18" s="21"/>
    </row>
    <row r="19" spans="2:5" ht="12.75">
      <c r="B19" s="20" t="s">
        <v>1489</v>
      </c>
      <c r="C19" s="17" t="s">
        <v>1490</v>
      </c>
      <c r="D19" s="17"/>
      <c r="E19" s="21"/>
    </row>
    <row r="20" spans="2:5" ht="13.5" thickBot="1">
      <c r="B20" s="22" t="s">
        <v>1491</v>
      </c>
      <c r="C20" s="23" t="s">
        <v>1492</v>
      </c>
      <c r="D20" s="23"/>
      <c r="E20" s="24"/>
    </row>
    <row r="23" ht="13.5" thickBot="1"/>
    <row r="24" spans="2:5" ht="12.75">
      <c r="B24" s="1754" t="s">
        <v>1555</v>
      </c>
      <c r="C24" s="1755"/>
      <c r="D24" s="1749" t="s">
        <v>1498</v>
      </c>
      <c r="E24" s="1752" t="s">
        <v>1556</v>
      </c>
    </row>
    <row r="25" spans="2:5" ht="13.5" thickBot="1">
      <c r="B25" s="1756"/>
      <c r="C25" s="1757"/>
      <c r="D25" s="1751"/>
      <c r="E25" s="1753"/>
    </row>
    <row r="26" spans="2:5" ht="12.75">
      <c r="B26" s="26">
        <v>1</v>
      </c>
      <c r="C26" s="27" t="s">
        <v>1557</v>
      </c>
      <c r="D26" s="27"/>
      <c r="E26" s="28"/>
    </row>
    <row r="27" spans="2:5" ht="12.75">
      <c r="B27" s="29"/>
      <c r="C27" s="30" t="s">
        <v>1499</v>
      </c>
      <c r="D27" s="31"/>
      <c r="E27" s="32"/>
    </row>
    <row r="28" spans="2:5" ht="12.75">
      <c r="B28" s="29"/>
      <c r="C28" s="30" t="s">
        <v>1500</v>
      </c>
      <c r="D28" s="31"/>
      <c r="E28" s="32"/>
    </row>
    <row r="29" spans="2:5" ht="25.5">
      <c r="B29" s="33">
        <v>2</v>
      </c>
      <c r="C29" s="2" t="s">
        <v>1501</v>
      </c>
      <c r="D29" s="31"/>
      <c r="E29" s="32"/>
    </row>
    <row r="30" spans="2:5" ht="12.75">
      <c r="B30" s="33">
        <v>3</v>
      </c>
      <c r="C30" s="2" t="s">
        <v>1502</v>
      </c>
      <c r="D30" s="31"/>
      <c r="E30" s="32"/>
    </row>
    <row r="31" spans="2:5" ht="12.75">
      <c r="B31" s="33">
        <v>2</v>
      </c>
      <c r="C31" s="2" t="s">
        <v>1503</v>
      </c>
      <c r="D31" s="31"/>
      <c r="E31" s="32"/>
    </row>
    <row r="32" spans="2:5" ht="12.75">
      <c r="B32" s="33"/>
      <c r="C32" s="37" t="s">
        <v>1505</v>
      </c>
      <c r="D32" s="31"/>
      <c r="E32" s="32"/>
    </row>
    <row r="33" spans="2:5" ht="12.75">
      <c r="B33" s="33"/>
      <c r="C33" s="37" t="s">
        <v>1506</v>
      </c>
      <c r="D33" s="31"/>
      <c r="E33" s="32"/>
    </row>
    <row r="34" spans="2:5" ht="12.75">
      <c r="B34" s="33"/>
      <c r="C34" s="37" t="s">
        <v>1504</v>
      </c>
      <c r="D34" s="31"/>
      <c r="E34" s="32"/>
    </row>
    <row r="35" spans="2:5" ht="12.75">
      <c r="B35" s="33"/>
      <c r="C35" s="37" t="s">
        <v>1507</v>
      </c>
      <c r="D35" s="31"/>
      <c r="E35" s="32"/>
    </row>
    <row r="36" spans="2:5" ht="12.75">
      <c r="B36" s="33"/>
      <c r="C36" s="2" t="s">
        <v>1508</v>
      </c>
      <c r="D36" s="31"/>
      <c r="E36" s="32"/>
    </row>
    <row r="37" spans="2:5" ht="12.75">
      <c r="B37" s="33"/>
      <c r="C37" s="37" t="s">
        <v>1506</v>
      </c>
      <c r="D37" s="31"/>
      <c r="E37" s="32"/>
    </row>
    <row r="38" spans="2:5" ht="12.75">
      <c r="B38" s="33">
        <v>4</v>
      </c>
      <c r="C38" s="2" t="s">
        <v>1509</v>
      </c>
      <c r="D38" s="31"/>
      <c r="E38" s="32"/>
    </row>
    <row r="39" spans="2:5" ht="25.5">
      <c r="B39" s="33">
        <v>5</v>
      </c>
      <c r="C39" s="2" t="s">
        <v>1510</v>
      </c>
      <c r="D39" s="31"/>
      <c r="E39" s="32"/>
    </row>
    <row r="40" spans="2:5" ht="12.75">
      <c r="B40" s="33">
        <v>6</v>
      </c>
      <c r="C40" s="31" t="s">
        <v>1511</v>
      </c>
      <c r="D40" s="31"/>
      <c r="E40" s="32"/>
    </row>
    <row r="41" spans="2:5" ht="12.75">
      <c r="B41" s="33">
        <v>7</v>
      </c>
      <c r="C41" s="31" t="s">
        <v>1512</v>
      </c>
      <c r="D41" s="31"/>
      <c r="E41" s="32"/>
    </row>
    <row r="42" spans="2:5" ht="13.5" thickBot="1">
      <c r="B42" s="34"/>
      <c r="C42" s="8" t="s">
        <v>1554</v>
      </c>
      <c r="D42" s="35"/>
      <c r="E42" s="36"/>
    </row>
    <row r="43" ht="12.75">
      <c r="B43" s="25"/>
    </row>
    <row r="44" ht="12.75">
      <c r="B44" s="25"/>
    </row>
  </sheetData>
  <sheetProtection/>
  <mergeCells count="6">
    <mergeCell ref="D2:D3"/>
    <mergeCell ref="D24:D25"/>
    <mergeCell ref="E24:E25"/>
    <mergeCell ref="B24:C25"/>
    <mergeCell ref="B2:C3"/>
    <mergeCell ref="E2:E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J488"/>
  <sheetViews>
    <sheetView zoomScalePageLayoutView="0" workbookViewId="0" topLeftCell="A19">
      <selection activeCell="L487" sqref="L487"/>
    </sheetView>
  </sheetViews>
  <sheetFormatPr defaultColWidth="9.125" defaultRowHeight="12.75"/>
  <cols>
    <col min="1" max="1" width="4.125" style="1632" customWidth="1"/>
    <col min="2" max="2" width="8.875" style="1632" customWidth="1"/>
    <col min="3" max="3" width="43.25390625" style="1632" customWidth="1"/>
    <col min="4" max="5" width="12.00390625" style="1632" customWidth="1"/>
    <col min="6" max="6" width="11.625" style="1632" customWidth="1"/>
    <col min="7" max="7" width="6.25390625" style="1632" customWidth="1"/>
    <col min="8" max="8" width="9.75390625" style="1632" customWidth="1"/>
    <col min="9" max="9" width="13.125" style="1632" customWidth="1"/>
    <col min="10" max="10" width="10.625" style="1632" customWidth="1"/>
  </cols>
  <sheetData>
    <row r="1" spans="2:7" s="1632" customFormat="1" ht="11.25" customHeight="1">
      <c r="B1" s="1633"/>
      <c r="C1" s="1633"/>
      <c r="E1" s="1633"/>
      <c r="F1" s="1633"/>
      <c r="G1" s="1633"/>
    </row>
    <row r="2" spans="1:10" ht="15.75" customHeight="1">
      <c r="A2"/>
      <c r="B2" s="1634" t="s">
        <v>729</v>
      </c>
      <c r="C2"/>
      <c r="D2"/>
      <c r="E2"/>
      <c r="F2"/>
      <c r="G2"/>
      <c r="H2"/>
      <c r="I2"/>
      <c r="J2"/>
    </row>
    <row r="4" spans="2:10" s="1635" customFormat="1" ht="24" customHeight="1">
      <c r="B4" s="1636" t="s">
        <v>730</v>
      </c>
      <c r="C4" s="1637" t="s">
        <v>731</v>
      </c>
      <c r="D4" s="1638"/>
      <c r="E4" s="1638"/>
      <c r="F4" s="1638"/>
      <c r="G4" s="1638"/>
      <c r="H4" s="1638"/>
      <c r="I4" s="1638"/>
      <c r="J4" s="1638"/>
    </row>
    <row r="5" spans="2:10" s="1635" customFormat="1" ht="12" customHeight="1">
      <c r="B5" s="1639" t="s">
        <v>732</v>
      </c>
      <c r="C5" s="1638"/>
      <c r="D5" s="1638"/>
      <c r="E5" s="1638"/>
      <c r="F5" s="1638"/>
      <c r="G5" s="1638"/>
      <c r="H5" s="1638"/>
      <c r="I5" s="1638"/>
      <c r="J5" s="1638"/>
    </row>
    <row r="6" spans="2:10" s="1635" customFormat="1" ht="12" customHeight="1">
      <c r="B6" s="1639" t="s">
        <v>733</v>
      </c>
      <c r="C6" s="1638"/>
      <c r="D6" s="1638"/>
      <c r="E6" s="1638"/>
      <c r="F6" s="1638"/>
      <c r="G6" s="1638"/>
      <c r="H6" s="1638"/>
      <c r="I6" s="1638"/>
      <c r="J6" s="1638"/>
    </row>
    <row r="7" spans="2:10" s="1632" customFormat="1" ht="12" customHeight="1">
      <c r="B7" s="1638" t="s">
        <v>734</v>
      </c>
      <c r="C7" s="1640"/>
      <c r="D7" s="1640"/>
      <c r="E7" s="1640"/>
      <c r="F7" s="1640"/>
      <c r="G7" s="1640"/>
      <c r="H7" s="1640"/>
      <c r="I7" s="1640"/>
      <c r="J7" s="1640"/>
    </row>
    <row r="8" spans="2:10" s="1632" customFormat="1" ht="12" customHeight="1">
      <c r="B8" s="1638"/>
      <c r="C8" s="1939"/>
      <c r="D8" s="1939"/>
      <c r="E8" s="1939"/>
      <c r="F8" s="1640"/>
      <c r="G8" s="1640"/>
      <c r="H8" s="1640"/>
      <c r="I8" s="1640"/>
      <c r="J8" s="1640"/>
    </row>
    <row r="9" spans="2:6" s="1632" customFormat="1" ht="11.25" customHeight="1">
      <c r="B9" s="1641"/>
      <c r="C9" s="1641"/>
      <c r="D9" s="1940" t="s">
        <v>735</v>
      </c>
      <c r="E9" s="1940"/>
      <c r="F9" s="1940"/>
    </row>
    <row r="10" spans="2:10" s="1642" customFormat="1" ht="57.75" customHeight="1">
      <c r="B10" s="1936" t="s">
        <v>736</v>
      </c>
      <c r="C10" s="1936" t="s">
        <v>737</v>
      </c>
      <c r="D10" s="1936" t="s">
        <v>738</v>
      </c>
      <c r="E10" s="1936" t="s">
        <v>739</v>
      </c>
      <c r="F10" s="1936" t="s">
        <v>740</v>
      </c>
      <c r="G10" s="1936" t="s">
        <v>741</v>
      </c>
      <c r="H10" s="1936" t="s">
        <v>742</v>
      </c>
      <c r="I10" s="1936" t="s">
        <v>743</v>
      </c>
      <c r="J10" s="1937" t="s">
        <v>744</v>
      </c>
    </row>
    <row r="11" spans="2:10" s="1642" customFormat="1" ht="11.25" customHeight="1">
      <c r="B11" s="1936"/>
      <c r="C11" s="1936"/>
      <c r="D11" s="1936"/>
      <c r="E11" s="1936"/>
      <c r="F11" s="1936"/>
      <c r="G11" s="1936"/>
      <c r="H11" s="1936"/>
      <c r="I11" s="1936"/>
      <c r="J11" s="1937"/>
    </row>
    <row r="12" spans="2:10" s="1632" customFormat="1" ht="11.25" customHeight="1">
      <c r="B12" s="1643">
        <v>1</v>
      </c>
      <c r="C12" s="1643">
        <v>2</v>
      </c>
      <c r="D12" s="1643">
        <v>3</v>
      </c>
      <c r="E12" s="1643">
        <v>4</v>
      </c>
      <c r="F12" s="1643">
        <v>5</v>
      </c>
      <c r="G12" s="1643">
        <v>6</v>
      </c>
      <c r="H12" s="1643">
        <v>7</v>
      </c>
      <c r="I12" s="1643">
        <v>8</v>
      </c>
      <c r="J12" s="1644">
        <v>9</v>
      </c>
    </row>
    <row r="13" spans="2:10" s="1632" customFormat="1" ht="21.75" customHeight="1">
      <c r="B13" s="1645"/>
      <c r="C13" s="1646" t="s">
        <v>745</v>
      </c>
      <c r="D13" s="1647">
        <v>711823</v>
      </c>
      <c r="E13" s="1647">
        <v>244667.22</v>
      </c>
      <c r="F13" s="1938" t="s">
        <v>746</v>
      </c>
      <c r="G13" s="1938"/>
      <c r="H13" s="1938"/>
      <c r="I13" s="1648">
        <v>4273.08</v>
      </c>
      <c r="J13" s="1649"/>
    </row>
    <row r="14" spans="2:10" s="1632" customFormat="1" ht="32.25" customHeight="1">
      <c r="B14" s="1645" t="s">
        <v>747</v>
      </c>
      <c r="C14" s="1645" t="s">
        <v>748</v>
      </c>
      <c r="D14" s="1650">
        <v>711823</v>
      </c>
      <c r="E14" s="1650">
        <v>244667.22</v>
      </c>
      <c r="F14" s="1650">
        <v>467155.78</v>
      </c>
      <c r="G14" s="1651">
        <v>2002</v>
      </c>
      <c r="H14" s="1652" t="s">
        <v>749</v>
      </c>
      <c r="I14" s="1653">
        <v>4273.08</v>
      </c>
      <c r="J14" s="1645" t="s">
        <v>493</v>
      </c>
    </row>
    <row r="15" spans="2:10" s="1632" customFormat="1" ht="21.75" customHeight="1">
      <c r="B15" s="1645"/>
      <c r="C15" s="1646" t="s">
        <v>750</v>
      </c>
      <c r="D15" s="1647">
        <v>101205025.39</v>
      </c>
      <c r="E15" s="1647">
        <v>83758831.35</v>
      </c>
      <c r="F15" s="1938" t="s">
        <v>746</v>
      </c>
      <c r="G15" s="1938"/>
      <c r="H15" s="1938"/>
      <c r="I15" s="1648">
        <v>3170499.7</v>
      </c>
      <c r="J15" s="1649"/>
    </row>
    <row r="16" spans="2:10" s="1632" customFormat="1" ht="32.25" customHeight="1">
      <c r="B16" s="1645" t="s">
        <v>751</v>
      </c>
      <c r="C16" s="1645" t="s">
        <v>752</v>
      </c>
      <c r="D16" s="1650">
        <v>714970</v>
      </c>
      <c r="E16" s="1650">
        <v>317958.84</v>
      </c>
      <c r="F16" s="1650">
        <v>397011.16</v>
      </c>
      <c r="G16" s="1651">
        <v>1999</v>
      </c>
      <c r="H16" s="1652" t="s">
        <v>753</v>
      </c>
      <c r="I16" s="1653">
        <v>3455.04</v>
      </c>
      <c r="J16" s="1645" t="s">
        <v>493</v>
      </c>
    </row>
    <row r="17" spans="2:10" s="1632" customFormat="1" ht="21.75" customHeight="1">
      <c r="B17" s="1645" t="s">
        <v>754</v>
      </c>
      <c r="C17" s="1645" t="s">
        <v>755</v>
      </c>
      <c r="D17" s="1650">
        <v>539002</v>
      </c>
      <c r="E17" s="1650">
        <v>183938.2</v>
      </c>
      <c r="F17" s="1650">
        <v>355063.8</v>
      </c>
      <c r="G17" s="1651">
        <v>1996</v>
      </c>
      <c r="H17" s="1652" t="s">
        <v>749</v>
      </c>
      <c r="I17" s="1653">
        <v>3240.48</v>
      </c>
      <c r="J17" s="1645" t="s">
        <v>493</v>
      </c>
    </row>
    <row r="18" spans="2:10" s="1632" customFormat="1" ht="21.75" customHeight="1">
      <c r="B18" s="1645" t="s">
        <v>756</v>
      </c>
      <c r="C18" s="1645" t="s">
        <v>757</v>
      </c>
      <c r="D18" s="1650">
        <v>50623</v>
      </c>
      <c r="E18" s="1650">
        <v>25758</v>
      </c>
      <c r="F18" s="1650">
        <v>24865</v>
      </c>
      <c r="G18" s="1651">
        <v>2025</v>
      </c>
      <c r="H18" s="1652" t="s">
        <v>758</v>
      </c>
      <c r="I18" s="1654">
        <v>300</v>
      </c>
      <c r="J18" s="1645" t="s">
        <v>493</v>
      </c>
    </row>
    <row r="19" spans="2:10" s="1632" customFormat="1" ht="21.75" customHeight="1">
      <c r="B19" s="1645" t="s">
        <v>759</v>
      </c>
      <c r="C19" s="1645" t="s">
        <v>760</v>
      </c>
      <c r="D19" s="1650">
        <v>66283</v>
      </c>
      <c r="E19" s="1650">
        <v>28723.2</v>
      </c>
      <c r="F19" s="1650">
        <v>37559.8</v>
      </c>
      <c r="G19" s="1651">
        <v>2009</v>
      </c>
      <c r="H19" s="1652" t="s">
        <v>761</v>
      </c>
      <c r="I19" s="1654">
        <v>395.88</v>
      </c>
      <c r="J19" s="1645" t="s">
        <v>493</v>
      </c>
    </row>
    <row r="20" spans="2:10" s="1632" customFormat="1" ht="21.75" customHeight="1">
      <c r="B20" s="1645" t="s">
        <v>762</v>
      </c>
      <c r="C20" s="1645" t="s">
        <v>763</v>
      </c>
      <c r="D20" s="1650">
        <v>1260319</v>
      </c>
      <c r="E20" s="1650">
        <v>482659.2</v>
      </c>
      <c r="F20" s="1650">
        <v>777659.8</v>
      </c>
      <c r="G20" s="1651">
        <v>2001</v>
      </c>
      <c r="H20" s="1652" t="s">
        <v>749</v>
      </c>
      <c r="I20" s="1653">
        <v>7558.08</v>
      </c>
      <c r="J20" s="1645" t="s">
        <v>493</v>
      </c>
    </row>
    <row r="21" spans="2:10" s="1632" customFormat="1" ht="32.25" customHeight="1">
      <c r="B21" s="1645" t="s">
        <v>764</v>
      </c>
      <c r="C21" s="1645" t="s">
        <v>765</v>
      </c>
      <c r="D21" s="1650">
        <v>694688</v>
      </c>
      <c r="E21" s="1650">
        <v>354225</v>
      </c>
      <c r="F21" s="1650">
        <v>340463</v>
      </c>
      <c r="G21" s="1651">
        <v>2002</v>
      </c>
      <c r="H21" s="1652" t="s">
        <v>758</v>
      </c>
      <c r="I21" s="1653">
        <v>4164</v>
      </c>
      <c r="J21" s="1645" t="s">
        <v>493</v>
      </c>
    </row>
    <row r="22" spans="2:10" s="1632" customFormat="1" ht="21.75" customHeight="1">
      <c r="B22" s="1645" t="s">
        <v>766</v>
      </c>
      <c r="C22" s="1645" t="s">
        <v>767</v>
      </c>
      <c r="D22" s="1650">
        <v>57976</v>
      </c>
      <c r="E22" s="1650">
        <v>44412.4</v>
      </c>
      <c r="F22" s="1650">
        <v>13563.6</v>
      </c>
      <c r="G22" s="1651">
        <v>1000</v>
      </c>
      <c r="H22" s="1652" t="s">
        <v>749</v>
      </c>
      <c r="I22" s="1654">
        <v>695.76</v>
      </c>
      <c r="J22" s="1645" t="s">
        <v>493</v>
      </c>
    </row>
    <row r="23" spans="2:10" s="1632" customFormat="1" ht="21.75" customHeight="1">
      <c r="B23" s="1645" t="s">
        <v>768</v>
      </c>
      <c r="C23" s="1645" t="s">
        <v>767</v>
      </c>
      <c r="D23" s="1650">
        <v>57976</v>
      </c>
      <c r="E23" s="1650">
        <v>44412.4</v>
      </c>
      <c r="F23" s="1650">
        <v>13563.6</v>
      </c>
      <c r="G23" s="1651">
        <v>1000</v>
      </c>
      <c r="H23" s="1652" t="s">
        <v>749</v>
      </c>
      <c r="I23" s="1654">
        <v>695.76</v>
      </c>
      <c r="J23" s="1645" t="s">
        <v>493</v>
      </c>
    </row>
    <row r="24" spans="2:10" s="1632" customFormat="1" ht="21.75" customHeight="1">
      <c r="B24" s="1645" t="s">
        <v>769</v>
      </c>
      <c r="C24" s="1645" t="s">
        <v>767</v>
      </c>
      <c r="D24" s="1650">
        <v>68166</v>
      </c>
      <c r="E24" s="1650">
        <v>52186.4</v>
      </c>
      <c r="F24" s="1650">
        <v>15979.6</v>
      </c>
      <c r="G24" s="1651">
        <v>1002</v>
      </c>
      <c r="H24" s="1652" t="s">
        <v>749</v>
      </c>
      <c r="I24" s="1654">
        <v>816.36</v>
      </c>
      <c r="J24" s="1645" t="s">
        <v>493</v>
      </c>
    </row>
    <row r="25" spans="2:10" s="1632" customFormat="1" ht="21.75" customHeight="1">
      <c r="B25" s="1645" t="s">
        <v>770</v>
      </c>
      <c r="C25" s="1645" t="s">
        <v>767</v>
      </c>
      <c r="D25" s="1650">
        <v>68166</v>
      </c>
      <c r="E25" s="1650">
        <v>52186.4</v>
      </c>
      <c r="F25" s="1650">
        <v>15979.6</v>
      </c>
      <c r="G25" s="1651">
        <v>1002</v>
      </c>
      <c r="H25" s="1652" t="s">
        <v>749</v>
      </c>
      <c r="I25" s="1654">
        <v>816.36</v>
      </c>
      <c r="J25" s="1645" t="s">
        <v>493</v>
      </c>
    </row>
    <row r="26" spans="2:10" s="1632" customFormat="1" ht="21.75" customHeight="1">
      <c r="B26" s="1645" t="s">
        <v>771</v>
      </c>
      <c r="C26" s="1645" t="s">
        <v>772</v>
      </c>
      <c r="D26" s="1650">
        <v>244028</v>
      </c>
      <c r="E26" s="1650">
        <v>186922.4</v>
      </c>
      <c r="F26" s="1650">
        <v>57105.6</v>
      </c>
      <c r="G26" s="1651">
        <v>1000</v>
      </c>
      <c r="H26" s="1652" t="s">
        <v>749</v>
      </c>
      <c r="I26" s="1653">
        <v>2928.36</v>
      </c>
      <c r="J26" s="1645" t="s">
        <v>493</v>
      </c>
    </row>
    <row r="27" spans="2:10" s="1632" customFormat="1" ht="21.75" customHeight="1">
      <c r="B27" s="1645" t="s">
        <v>773</v>
      </c>
      <c r="C27" s="1645" t="s">
        <v>774</v>
      </c>
      <c r="D27" s="1650">
        <v>1289270</v>
      </c>
      <c r="E27" s="1650">
        <v>1289270</v>
      </c>
      <c r="F27" s="1655" t="s">
        <v>568</v>
      </c>
      <c r="G27" s="1656">
        <v>750</v>
      </c>
      <c r="H27" s="1652" t="s">
        <v>749</v>
      </c>
      <c r="I27" s="1652" t="s">
        <v>568</v>
      </c>
      <c r="J27" s="1645" t="s">
        <v>493</v>
      </c>
    </row>
    <row r="28" spans="2:10" s="1632" customFormat="1" ht="32.25" customHeight="1">
      <c r="B28" s="1645" t="s">
        <v>775</v>
      </c>
      <c r="C28" s="1645" t="s">
        <v>776</v>
      </c>
      <c r="D28" s="1650">
        <v>1581</v>
      </c>
      <c r="E28" s="1650">
        <v>1581</v>
      </c>
      <c r="F28" s="1655" t="s">
        <v>568</v>
      </c>
      <c r="G28" s="1656">
        <v>72</v>
      </c>
      <c r="H28" s="1652" t="s">
        <v>777</v>
      </c>
      <c r="I28" s="1652" t="s">
        <v>568</v>
      </c>
      <c r="J28" s="1645" t="s">
        <v>493</v>
      </c>
    </row>
    <row r="29" spans="2:10" s="1632" customFormat="1" ht="21.75" customHeight="1">
      <c r="B29" s="1645" t="s">
        <v>778</v>
      </c>
      <c r="C29" s="1645" t="s">
        <v>779</v>
      </c>
      <c r="D29" s="1650">
        <v>125557</v>
      </c>
      <c r="E29" s="1650">
        <v>125557</v>
      </c>
      <c r="F29" s="1655" t="s">
        <v>568</v>
      </c>
      <c r="G29" s="1656">
        <v>423</v>
      </c>
      <c r="H29" s="1652" t="s">
        <v>749</v>
      </c>
      <c r="I29" s="1652" t="s">
        <v>568</v>
      </c>
      <c r="J29" s="1645" t="s">
        <v>493</v>
      </c>
    </row>
    <row r="30" spans="2:10" s="1632" customFormat="1" ht="21.75" customHeight="1">
      <c r="B30" s="1645" t="s">
        <v>780</v>
      </c>
      <c r="C30" s="1645" t="s">
        <v>781</v>
      </c>
      <c r="D30" s="1650">
        <v>4071</v>
      </c>
      <c r="E30" s="1650">
        <v>4071</v>
      </c>
      <c r="F30" s="1655" t="s">
        <v>568</v>
      </c>
      <c r="G30" s="1656">
        <v>72</v>
      </c>
      <c r="H30" s="1652" t="s">
        <v>749</v>
      </c>
      <c r="I30" s="1652" t="s">
        <v>568</v>
      </c>
      <c r="J30" s="1645" t="s">
        <v>493</v>
      </c>
    </row>
    <row r="31" spans="2:10" s="1632" customFormat="1" ht="21.75" customHeight="1">
      <c r="B31" s="1645" t="s">
        <v>782</v>
      </c>
      <c r="C31" s="1645" t="s">
        <v>783</v>
      </c>
      <c r="D31" s="1650">
        <v>4071</v>
      </c>
      <c r="E31" s="1650">
        <v>4071</v>
      </c>
      <c r="F31" s="1655" t="s">
        <v>568</v>
      </c>
      <c r="G31" s="1656">
        <v>72</v>
      </c>
      <c r="H31" s="1652" t="s">
        <v>749</v>
      </c>
      <c r="I31" s="1652" t="s">
        <v>568</v>
      </c>
      <c r="J31" s="1645" t="s">
        <v>493</v>
      </c>
    </row>
    <row r="32" spans="2:10" s="1632" customFormat="1" ht="21.75" customHeight="1">
      <c r="B32" s="1645" t="s">
        <v>784</v>
      </c>
      <c r="C32" s="1645" t="s">
        <v>785</v>
      </c>
      <c r="D32" s="1650">
        <v>3232</v>
      </c>
      <c r="E32" s="1650">
        <v>3232</v>
      </c>
      <c r="F32" s="1655" t="s">
        <v>568</v>
      </c>
      <c r="G32" s="1656">
        <v>72</v>
      </c>
      <c r="H32" s="1652" t="s">
        <v>749</v>
      </c>
      <c r="I32" s="1652" t="s">
        <v>568</v>
      </c>
      <c r="J32" s="1645" t="s">
        <v>493</v>
      </c>
    </row>
    <row r="33" spans="2:10" s="1632" customFormat="1" ht="21.75" customHeight="1">
      <c r="B33" s="1645" t="s">
        <v>786</v>
      </c>
      <c r="C33" s="1645" t="s">
        <v>787</v>
      </c>
      <c r="D33" s="1650">
        <v>3232</v>
      </c>
      <c r="E33" s="1650">
        <v>3232</v>
      </c>
      <c r="F33" s="1655" t="s">
        <v>568</v>
      </c>
      <c r="G33" s="1656">
        <v>72</v>
      </c>
      <c r="H33" s="1652" t="s">
        <v>749</v>
      </c>
      <c r="I33" s="1652" t="s">
        <v>568</v>
      </c>
      <c r="J33" s="1645" t="s">
        <v>493</v>
      </c>
    </row>
    <row r="34" spans="2:10" s="1632" customFormat="1" ht="21.75" customHeight="1">
      <c r="B34" s="1645" t="s">
        <v>788</v>
      </c>
      <c r="C34" s="1645" t="s">
        <v>789</v>
      </c>
      <c r="D34" s="1650">
        <v>3232</v>
      </c>
      <c r="E34" s="1650">
        <v>3232</v>
      </c>
      <c r="F34" s="1655" t="s">
        <v>568</v>
      </c>
      <c r="G34" s="1656">
        <v>72</v>
      </c>
      <c r="H34" s="1652" t="s">
        <v>749</v>
      </c>
      <c r="I34" s="1652" t="s">
        <v>568</v>
      </c>
      <c r="J34" s="1645" t="s">
        <v>493</v>
      </c>
    </row>
    <row r="35" spans="2:10" s="1632" customFormat="1" ht="21.75" customHeight="1">
      <c r="B35" s="1645" t="s">
        <v>790</v>
      </c>
      <c r="C35" s="1645" t="s">
        <v>791</v>
      </c>
      <c r="D35" s="1650">
        <v>6482</v>
      </c>
      <c r="E35" s="1650">
        <v>6482</v>
      </c>
      <c r="F35" s="1655" t="s">
        <v>568</v>
      </c>
      <c r="G35" s="1656">
        <v>96</v>
      </c>
      <c r="H35" s="1652" t="s">
        <v>749</v>
      </c>
      <c r="I35" s="1652" t="s">
        <v>568</v>
      </c>
      <c r="J35" s="1645" t="s">
        <v>493</v>
      </c>
    </row>
    <row r="36" spans="2:10" s="1632" customFormat="1" ht="21.75" customHeight="1">
      <c r="B36" s="1645" t="s">
        <v>792</v>
      </c>
      <c r="C36" s="1645" t="s">
        <v>793</v>
      </c>
      <c r="D36" s="1650">
        <v>9960</v>
      </c>
      <c r="E36" s="1650">
        <v>9960</v>
      </c>
      <c r="F36" s="1655" t="s">
        <v>568</v>
      </c>
      <c r="G36" s="1656">
        <v>72</v>
      </c>
      <c r="H36" s="1652" t="s">
        <v>749</v>
      </c>
      <c r="I36" s="1652" t="s">
        <v>568</v>
      </c>
      <c r="J36" s="1645" t="s">
        <v>493</v>
      </c>
    </row>
    <row r="37" spans="2:10" s="1632" customFormat="1" ht="21.75" customHeight="1">
      <c r="B37" s="1645" t="s">
        <v>794</v>
      </c>
      <c r="C37" s="1645" t="s">
        <v>795</v>
      </c>
      <c r="D37" s="1650">
        <v>15451</v>
      </c>
      <c r="E37" s="1650">
        <v>15451</v>
      </c>
      <c r="F37" s="1655" t="s">
        <v>568</v>
      </c>
      <c r="G37" s="1656">
        <v>423</v>
      </c>
      <c r="H37" s="1652" t="s">
        <v>749</v>
      </c>
      <c r="I37" s="1652" t="s">
        <v>568</v>
      </c>
      <c r="J37" s="1645" t="s">
        <v>493</v>
      </c>
    </row>
    <row r="38" spans="2:10" s="1632" customFormat="1" ht="21.75" customHeight="1">
      <c r="B38" s="1645" t="s">
        <v>796</v>
      </c>
      <c r="C38" s="1645" t="s">
        <v>797</v>
      </c>
      <c r="D38" s="1650">
        <v>15382</v>
      </c>
      <c r="E38" s="1650">
        <v>15382</v>
      </c>
      <c r="F38" s="1655" t="s">
        <v>568</v>
      </c>
      <c r="G38" s="1656">
        <v>423</v>
      </c>
      <c r="H38" s="1652" t="s">
        <v>749</v>
      </c>
      <c r="I38" s="1652" t="s">
        <v>568</v>
      </c>
      <c r="J38" s="1645" t="s">
        <v>493</v>
      </c>
    </row>
    <row r="39" spans="2:10" s="1632" customFormat="1" ht="32.25" customHeight="1">
      <c r="B39" s="1645" t="s">
        <v>798</v>
      </c>
      <c r="C39" s="1645" t="s">
        <v>799</v>
      </c>
      <c r="D39" s="1650">
        <v>1330</v>
      </c>
      <c r="E39" s="1650">
        <v>1330</v>
      </c>
      <c r="F39" s="1655" t="s">
        <v>568</v>
      </c>
      <c r="G39" s="1656">
        <v>192</v>
      </c>
      <c r="H39" s="1652" t="s">
        <v>800</v>
      </c>
      <c r="I39" s="1652" t="s">
        <v>568</v>
      </c>
      <c r="J39" s="1645" t="s">
        <v>493</v>
      </c>
    </row>
    <row r="40" spans="2:10" s="1632" customFormat="1" ht="21.75" customHeight="1">
      <c r="B40" s="1645" t="s">
        <v>801</v>
      </c>
      <c r="C40" s="1645" t="s">
        <v>802</v>
      </c>
      <c r="D40" s="1650">
        <v>6388</v>
      </c>
      <c r="E40" s="1650">
        <v>6388</v>
      </c>
      <c r="F40" s="1655" t="s">
        <v>568</v>
      </c>
      <c r="G40" s="1656">
        <v>192</v>
      </c>
      <c r="H40" s="1652" t="s">
        <v>800</v>
      </c>
      <c r="I40" s="1652" t="s">
        <v>568</v>
      </c>
      <c r="J40" s="1645" t="s">
        <v>493</v>
      </c>
    </row>
    <row r="41" spans="2:10" s="1632" customFormat="1" ht="21.75" customHeight="1">
      <c r="B41" s="1645" t="s">
        <v>803</v>
      </c>
      <c r="C41" s="1645" t="s">
        <v>804</v>
      </c>
      <c r="D41" s="1650">
        <v>6388</v>
      </c>
      <c r="E41" s="1650">
        <v>6388</v>
      </c>
      <c r="F41" s="1655" t="s">
        <v>568</v>
      </c>
      <c r="G41" s="1656">
        <v>192</v>
      </c>
      <c r="H41" s="1652" t="s">
        <v>800</v>
      </c>
      <c r="I41" s="1652" t="s">
        <v>568</v>
      </c>
      <c r="J41" s="1645" t="s">
        <v>493</v>
      </c>
    </row>
    <row r="42" spans="2:10" s="1632" customFormat="1" ht="32.25" customHeight="1">
      <c r="B42" s="1645" t="s">
        <v>805</v>
      </c>
      <c r="C42" s="1645" t="s">
        <v>806</v>
      </c>
      <c r="D42" s="1650">
        <v>1330</v>
      </c>
      <c r="E42" s="1650">
        <v>1330</v>
      </c>
      <c r="F42" s="1655" t="s">
        <v>568</v>
      </c>
      <c r="G42" s="1656">
        <v>192</v>
      </c>
      <c r="H42" s="1652" t="s">
        <v>749</v>
      </c>
      <c r="I42" s="1652" t="s">
        <v>568</v>
      </c>
      <c r="J42" s="1645" t="s">
        <v>493</v>
      </c>
    </row>
    <row r="43" spans="2:10" s="1632" customFormat="1" ht="21.75" customHeight="1">
      <c r="B43" s="1645" t="s">
        <v>807</v>
      </c>
      <c r="C43" s="1657" t="s">
        <v>808</v>
      </c>
      <c r="D43" s="1650">
        <v>20524</v>
      </c>
      <c r="E43" s="1650">
        <v>20524</v>
      </c>
      <c r="F43" s="1655" t="s">
        <v>568</v>
      </c>
      <c r="G43" s="1656">
        <v>435</v>
      </c>
      <c r="H43" s="1652" t="s">
        <v>809</v>
      </c>
      <c r="I43" s="1652" t="s">
        <v>568</v>
      </c>
      <c r="J43" s="1645" t="s">
        <v>493</v>
      </c>
    </row>
    <row r="44" spans="2:10" s="1632" customFormat="1" ht="21.75" customHeight="1">
      <c r="B44" s="1645" t="s">
        <v>810</v>
      </c>
      <c r="C44" s="1645" t="s">
        <v>811</v>
      </c>
      <c r="D44" s="1650">
        <v>20524</v>
      </c>
      <c r="E44" s="1650">
        <v>20524</v>
      </c>
      <c r="F44" s="1655" t="s">
        <v>568</v>
      </c>
      <c r="G44" s="1656">
        <v>435</v>
      </c>
      <c r="H44" s="1652" t="s">
        <v>809</v>
      </c>
      <c r="I44" s="1652" t="s">
        <v>568</v>
      </c>
      <c r="J44" s="1645" t="s">
        <v>493</v>
      </c>
    </row>
    <row r="45" spans="2:10" s="1632" customFormat="1" ht="21.75" customHeight="1">
      <c r="B45" s="1645" t="s">
        <v>812</v>
      </c>
      <c r="C45" s="1645" t="s">
        <v>813</v>
      </c>
      <c r="D45" s="1650">
        <v>14347</v>
      </c>
      <c r="E45" s="1650">
        <v>14347</v>
      </c>
      <c r="F45" s="1655" t="s">
        <v>568</v>
      </c>
      <c r="G45" s="1656">
        <v>435</v>
      </c>
      <c r="H45" s="1652" t="s">
        <v>809</v>
      </c>
      <c r="I45" s="1652" t="s">
        <v>568</v>
      </c>
      <c r="J45" s="1645" t="s">
        <v>493</v>
      </c>
    </row>
    <row r="46" spans="2:10" s="1632" customFormat="1" ht="21.75" customHeight="1">
      <c r="B46" s="1645" t="s">
        <v>814</v>
      </c>
      <c r="C46" s="1645" t="s">
        <v>815</v>
      </c>
      <c r="D46" s="1650">
        <v>15400</v>
      </c>
      <c r="E46" s="1650">
        <v>15400</v>
      </c>
      <c r="F46" s="1655" t="s">
        <v>568</v>
      </c>
      <c r="G46" s="1656">
        <v>538</v>
      </c>
      <c r="H46" s="1652" t="s">
        <v>753</v>
      </c>
      <c r="I46" s="1652" t="s">
        <v>568</v>
      </c>
      <c r="J46" s="1645" t="s">
        <v>493</v>
      </c>
    </row>
    <row r="47" spans="2:10" s="1632" customFormat="1" ht="21.75" customHeight="1">
      <c r="B47" s="1645" t="s">
        <v>816</v>
      </c>
      <c r="C47" s="1658" t="s">
        <v>817</v>
      </c>
      <c r="D47" s="1650">
        <v>20536</v>
      </c>
      <c r="E47" s="1650">
        <v>20536</v>
      </c>
      <c r="F47" s="1655" t="s">
        <v>568</v>
      </c>
      <c r="G47" s="1659">
        <v>538</v>
      </c>
      <c r="H47" s="1652" t="s">
        <v>753</v>
      </c>
      <c r="I47" s="1660" t="s">
        <v>568</v>
      </c>
      <c r="J47" s="1645" t="s">
        <v>493</v>
      </c>
    </row>
    <row r="48" spans="2:10" s="1632" customFormat="1" ht="21.75" customHeight="1">
      <c r="B48" s="1645" t="s">
        <v>818</v>
      </c>
      <c r="C48" s="1658" t="s">
        <v>819</v>
      </c>
      <c r="D48" s="1650">
        <v>20536</v>
      </c>
      <c r="E48" s="1650">
        <v>20536</v>
      </c>
      <c r="F48" s="1655" t="s">
        <v>568</v>
      </c>
      <c r="G48" s="1659">
        <v>538</v>
      </c>
      <c r="H48" s="1652" t="s">
        <v>753</v>
      </c>
      <c r="I48" s="1660" t="s">
        <v>568</v>
      </c>
      <c r="J48" s="1645" t="s">
        <v>493</v>
      </c>
    </row>
    <row r="49" spans="2:10" s="1632" customFormat="1" ht="21.75" customHeight="1">
      <c r="B49" s="1645" t="s">
        <v>820</v>
      </c>
      <c r="C49" s="1658" t="s">
        <v>821</v>
      </c>
      <c r="D49" s="1650">
        <v>20536</v>
      </c>
      <c r="E49" s="1650">
        <v>20536</v>
      </c>
      <c r="F49" s="1655" t="s">
        <v>568</v>
      </c>
      <c r="G49" s="1659">
        <v>538</v>
      </c>
      <c r="H49" s="1652" t="s">
        <v>753</v>
      </c>
      <c r="I49" s="1660" t="s">
        <v>568</v>
      </c>
      <c r="J49" s="1645" t="s">
        <v>493</v>
      </c>
    </row>
    <row r="50" spans="2:10" s="1632" customFormat="1" ht="21.75" customHeight="1">
      <c r="B50" s="1645" t="s">
        <v>822</v>
      </c>
      <c r="C50" s="1658" t="s">
        <v>823</v>
      </c>
      <c r="D50" s="1650">
        <v>20536</v>
      </c>
      <c r="E50" s="1650">
        <v>20536</v>
      </c>
      <c r="F50" s="1655" t="s">
        <v>568</v>
      </c>
      <c r="G50" s="1659">
        <v>538</v>
      </c>
      <c r="H50" s="1652" t="s">
        <v>753</v>
      </c>
      <c r="I50" s="1660" t="s">
        <v>568</v>
      </c>
      <c r="J50" s="1645" t="s">
        <v>493</v>
      </c>
    </row>
    <row r="51" spans="2:10" s="1632" customFormat="1" ht="21.75" customHeight="1">
      <c r="B51" s="1645" t="s">
        <v>824</v>
      </c>
      <c r="C51" s="1645" t="s">
        <v>825</v>
      </c>
      <c r="D51" s="1650">
        <v>12619</v>
      </c>
      <c r="E51" s="1650">
        <v>12619</v>
      </c>
      <c r="F51" s="1655" t="s">
        <v>568</v>
      </c>
      <c r="G51" s="1656">
        <v>538</v>
      </c>
      <c r="H51" s="1652" t="s">
        <v>753</v>
      </c>
      <c r="I51" s="1652" t="s">
        <v>568</v>
      </c>
      <c r="J51" s="1645" t="s">
        <v>493</v>
      </c>
    </row>
    <row r="52" spans="2:10" s="1632" customFormat="1" ht="21.75" customHeight="1">
      <c r="B52" s="1645" t="s">
        <v>826</v>
      </c>
      <c r="C52" s="1645" t="s">
        <v>827</v>
      </c>
      <c r="D52" s="1650">
        <v>12619</v>
      </c>
      <c r="E52" s="1650">
        <v>12619</v>
      </c>
      <c r="F52" s="1655" t="s">
        <v>568</v>
      </c>
      <c r="G52" s="1656">
        <v>538</v>
      </c>
      <c r="H52" s="1652" t="s">
        <v>753</v>
      </c>
      <c r="I52" s="1652" t="s">
        <v>568</v>
      </c>
      <c r="J52" s="1645" t="s">
        <v>493</v>
      </c>
    </row>
    <row r="53" spans="2:10" s="1632" customFormat="1" ht="21.75" customHeight="1">
      <c r="B53" s="1645" t="s">
        <v>828</v>
      </c>
      <c r="C53" s="1658" t="s">
        <v>829</v>
      </c>
      <c r="D53" s="1650">
        <v>2990</v>
      </c>
      <c r="E53" s="1650">
        <v>2990</v>
      </c>
      <c r="F53" s="1655" t="s">
        <v>568</v>
      </c>
      <c r="G53" s="1659">
        <v>96</v>
      </c>
      <c r="H53" s="1652" t="s">
        <v>830</v>
      </c>
      <c r="I53" s="1660" t="s">
        <v>568</v>
      </c>
      <c r="J53" s="1645" t="s">
        <v>493</v>
      </c>
    </row>
    <row r="54" spans="2:10" s="1632" customFormat="1" ht="21.75" customHeight="1">
      <c r="B54" s="1645" t="s">
        <v>831</v>
      </c>
      <c r="C54" s="1658" t="s">
        <v>832</v>
      </c>
      <c r="D54" s="1650">
        <v>2492</v>
      </c>
      <c r="E54" s="1650">
        <v>2492</v>
      </c>
      <c r="F54" s="1655" t="s">
        <v>568</v>
      </c>
      <c r="G54" s="1659">
        <v>96</v>
      </c>
      <c r="H54" s="1652" t="s">
        <v>830</v>
      </c>
      <c r="I54" s="1660" t="s">
        <v>568</v>
      </c>
      <c r="J54" s="1645" t="s">
        <v>493</v>
      </c>
    </row>
    <row r="55" spans="2:10" s="1632" customFormat="1" ht="21.75" customHeight="1">
      <c r="B55" s="1645" t="s">
        <v>833</v>
      </c>
      <c r="C55" s="1658" t="s">
        <v>834</v>
      </c>
      <c r="D55" s="1650">
        <v>1495</v>
      </c>
      <c r="E55" s="1650">
        <v>1495</v>
      </c>
      <c r="F55" s="1655" t="s">
        <v>568</v>
      </c>
      <c r="G55" s="1659">
        <v>96</v>
      </c>
      <c r="H55" s="1652" t="s">
        <v>830</v>
      </c>
      <c r="I55" s="1660" t="s">
        <v>568</v>
      </c>
      <c r="J55" s="1645" t="s">
        <v>493</v>
      </c>
    </row>
    <row r="56" spans="2:10" s="1632" customFormat="1" ht="21.75" customHeight="1">
      <c r="B56" s="1645" t="s">
        <v>835</v>
      </c>
      <c r="C56" s="1658" t="s">
        <v>836</v>
      </c>
      <c r="D56" s="1650">
        <v>1993</v>
      </c>
      <c r="E56" s="1650">
        <v>1993</v>
      </c>
      <c r="F56" s="1655" t="s">
        <v>568</v>
      </c>
      <c r="G56" s="1659">
        <v>96</v>
      </c>
      <c r="H56" s="1652" t="s">
        <v>830</v>
      </c>
      <c r="I56" s="1660" t="s">
        <v>568</v>
      </c>
      <c r="J56" s="1645" t="s">
        <v>493</v>
      </c>
    </row>
    <row r="57" spans="2:10" s="1632" customFormat="1" ht="21.75" customHeight="1">
      <c r="B57" s="1645" t="s">
        <v>837</v>
      </c>
      <c r="C57" s="1658" t="s">
        <v>838</v>
      </c>
      <c r="D57" s="1650">
        <v>1993</v>
      </c>
      <c r="E57" s="1650">
        <v>1993</v>
      </c>
      <c r="F57" s="1655" t="s">
        <v>568</v>
      </c>
      <c r="G57" s="1659">
        <v>96</v>
      </c>
      <c r="H57" s="1652" t="s">
        <v>830</v>
      </c>
      <c r="I57" s="1660" t="s">
        <v>568</v>
      </c>
      <c r="J57" s="1645" t="s">
        <v>493</v>
      </c>
    </row>
    <row r="58" spans="2:10" s="1632" customFormat="1" ht="21.75" customHeight="1">
      <c r="B58" s="1645" t="s">
        <v>839</v>
      </c>
      <c r="C58" s="1645" t="s">
        <v>840</v>
      </c>
      <c r="D58" s="1661">
        <v>852</v>
      </c>
      <c r="E58" s="1661">
        <v>852</v>
      </c>
      <c r="F58" s="1655" t="s">
        <v>568</v>
      </c>
      <c r="G58" s="1656">
        <v>852</v>
      </c>
      <c r="H58" s="1652" t="s">
        <v>749</v>
      </c>
      <c r="I58" s="1652" t="s">
        <v>568</v>
      </c>
      <c r="J58" s="1645" t="s">
        <v>493</v>
      </c>
    </row>
    <row r="59" spans="2:10" s="1632" customFormat="1" ht="32.25" customHeight="1">
      <c r="B59" s="1645" t="s">
        <v>841</v>
      </c>
      <c r="C59" s="1645" t="s">
        <v>842</v>
      </c>
      <c r="D59" s="1650">
        <v>3053</v>
      </c>
      <c r="E59" s="1650">
        <v>3050</v>
      </c>
      <c r="F59" s="1661">
        <v>3</v>
      </c>
      <c r="G59" s="1656">
        <v>763</v>
      </c>
      <c r="H59" s="1652" t="s">
        <v>809</v>
      </c>
      <c r="I59" s="1654">
        <v>48</v>
      </c>
      <c r="J59" s="1645" t="s">
        <v>493</v>
      </c>
    </row>
    <row r="60" spans="2:10" s="1632" customFormat="1" ht="21.75" customHeight="1">
      <c r="B60" s="1645" t="s">
        <v>843</v>
      </c>
      <c r="C60" s="1645" t="s">
        <v>844</v>
      </c>
      <c r="D60" s="1650">
        <v>7271</v>
      </c>
      <c r="E60" s="1650">
        <v>7271</v>
      </c>
      <c r="F60" s="1655" t="s">
        <v>568</v>
      </c>
      <c r="G60" s="1656">
        <v>192</v>
      </c>
      <c r="H60" s="1652" t="s">
        <v>753</v>
      </c>
      <c r="I60" s="1652" t="s">
        <v>568</v>
      </c>
      <c r="J60" s="1645" t="s">
        <v>493</v>
      </c>
    </row>
    <row r="61" spans="2:10" s="1632" customFormat="1" ht="32.25" customHeight="1">
      <c r="B61" s="1645" t="s">
        <v>845</v>
      </c>
      <c r="C61" s="1645" t="s">
        <v>846</v>
      </c>
      <c r="D61" s="1650">
        <v>1818</v>
      </c>
      <c r="E61" s="1650">
        <v>1818</v>
      </c>
      <c r="F61" s="1655" t="s">
        <v>568</v>
      </c>
      <c r="G61" s="1656">
        <v>120</v>
      </c>
      <c r="H61" s="1652" t="s">
        <v>847</v>
      </c>
      <c r="I61" s="1652" t="s">
        <v>568</v>
      </c>
      <c r="J61" s="1645" t="s">
        <v>493</v>
      </c>
    </row>
    <row r="62" spans="2:10" s="1632" customFormat="1" ht="32.25" customHeight="1">
      <c r="B62" s="1645" t="s">
        <v>848</v>
      </c>
      <c r="C62" s="1645" t="s">
        <v>849</v>
      </c>
      <c r="D62" s="1650">
        <v>1818</v>
      </c>
      <c r="E62" s="1650">
        <v>1818</v>
      </c>
      <c r="F62" s="1655" t="s">
        <v>568</v>
      </c>
      <c r="G62" s="1656">
        <v>120</v>
      </c>
      <c r="H62" s="1652" t="s">
        <v>847</v>
      </c>
      <c r="I62" s="1652" t="s">
        <v>568</v>
      </c>
      <c r="J62" s="1645" t="s">
        <v>493</v>
      </c>
    </row>
    <row r="63" spans="2:10" s="1632" customFormat="1" ht="32.25" customHeight="1">
      <c r="B63" s="1645" t="s">
        <v>850</v>
      </c>
      <c r="C63" s="1645" t="s">
        <v>851</v>
      </c>
      <c r="D63" s="1650">
        <v>4103</v>
      </c>
      <c r="E63" s="1650">
        <v>4103</v>
      </c>
      <c r="F63" s="1655" t="s">
        <v>568</v>
      </c>
      <c r="G63" s="1656">
        <v>120</v>
      </c>
      <c r="H63" s="1652" t="s">
        <v>777</v>
      </c>
      <c r="I63" s="1652" t="s">
        <v>568</v>
      </c>
      <c r="J63" s="1645" t="s">
        <v>493</v>
      </c>
    </row>
    <row r="64" spans="2:10" s="1632" customFormat="1" ht="32.25" customHeight="1">
      <c r="B64" s="1645" t="s">
        <v>852</v>
      </c>
      <c r="C64" s="1645" t="s">
        <v>853</v>
      </c>
      <c r="D64" s="1650">
        <v>4103</v>
      </c>
      <c r="E64" s="1650">
        <v>4103</v>
      </c>
      <c r="F64" s="1655" t="s">
        <v>568</v>
      </c>
      <c r="G64" s="1656">
        <v>120</v>
      </c>
      <c r="H64" s="1652" t="s">
        <v>830</v>
      </c>
      <c r="I64" s="1652" t="s">
        <v>568</v>
      </c>
      <c r="J64" s="1645" t="s">
        <v>493</v>
      </c>
    </row>
    <row r="65" spans="2:10" s="1632" customFormat="1" ht="21.75" customHeight="1">
      <c r="B65" s="1645" t="s">
        <v>854</v>
      </c>
      <c r="C65" s="1645" t="s">
        <v>855</v>
      </c>
      <c r="D65" s="1650">
        <v>7987</v>
      </c>
      <c r="E65" s="1650">
        <v>7987</v>
      </c>
      <c r="F65" s="1655" t="s">
        <v>568</v>
      </c>
      <c r="G65" s="1656">
        <v>120</v>
      </c>
      <c r="H65" s="1652" t="s">
        <v>749</v>
      </c>
      <c r="I65" s="1652" t="s">
        <v>568</v>
      </c>
      <c r="J65" s="1645" t="s">
        <v>493</v>
      </c>
    </row>
    <row r="66" spans="2:10" s="1632" customFormat="1" ht="21.75" customHeight="1">
      <c r="B66" s="1645" t="s">
        <v>856</v>
      </c>
      <c r="C66" s="1645" t="s">
        <v>857</v>
      </c>
      <c r="D66" s="1650">
        <v>811176</v>
      </c>
      <c r="E66" s="1650">
        <v>292101.2</v>
      </c>
      <c r="F66" s="1650">
        <v>519074.8</v>
      </c>
      <c r="G66" s="1651">
        <v>1998</v>
      </c>
      <c r="H66" s="1652" t="s">
        <v>858</v>
      </c>
      <c r="I66" s="1653">
        <v>4871.88</v>
      </c>
      <c r="J66" s="1645" t="s">
        <v>493</v>
      </c>
    </row>
    <row r="67" spans="2:10" s="1632" customFormat="1" ht="32.25" customHeight="1">
      <c r="B67" s="1645" t="s">
        <v>859</v>
      </c>
      <c r="C67" s="1645" t="s">
        <v>860</v>
      </c>
      <c r="D67" s="1650">
        <v>4998</v>
      </c>
      <c r="E67" s="1650">
        <v>4998</v>
      </c>
      <c r="F67" s="1655" t="s">
        <v>568</v>
      </c>
      <c r="G67" s="1656">
        <v>48</v>
      </c>
      <c r="H67" s="1652" t="s">
        <v>861</v>
      </c>
      <c r="I67" s="1652" t="s">
        <v>568</v>
      </c>
      <c r="J67" s="1645" t="s">
        <v>493</v>
      </c>
    </row>
    <row r="68" spans="2:10" s="1632" customFormat="1" ht="21.75" customHeight="1">
      <c r="B68" s="1645" t="s">
        <v>862</v>
      </c>
      <c r="C68" s="1645" t="s">
        <v>863</v>
      </c>
      <c r="D68" s="1650">
        <v>2117</v>
      </c>
      <c r="E68" s="1650">
        <v>2117</v>
      </c>
      <c r="F68" s="1655" t="s">
        <v>568</v>
      </c>
      <c r="G68" s="1656">
        <v>120</v>
      </c>
      <c r="H68" s="1652" t="s">
        <v>864</v>
      </c>
      <c r="I68" s="1652" t="s">
        <v>568</v>
      </c>
      <c r="J68" s="1645" t="s">
        <v>493</v>
      </c>
    </row>
    <row r="69" spans="2:10" s="1632" customFormat="1" ht="21.75" customHeight="1">
      <c r="B69" s="1645" t="s">
        <v>865</v>
      </c>
      <c r="C69" s="1645" t="s">
        <v>866</v>
      </c>
      <c r="D69" s="1650">
        <v>1091</v>
      </c>
      <c r="E69" s="1650">
        <v>1091</v>
      </c>
      <c r="F69" s="1655" t="s">
        <v>568</v>
      </c>
      <c r="G69" s="1656">
        <v>120</v>
      </c>
      <c r="H69" s="1652" t="s">
        <v>867</v>
      </c>
      <c r="I69" s="1652" t="s">
        <v>568</v>
      </c>
      <c r="J69" s="1645" t="s">
        <v>493</v>
      </c>
    </row>
    <row r="70" spans="2:10" s="1632" customFormat="1" ht="21.75" customHeight="1">
      <c r="B70" s="1645" t="s">
        <v>868</v>
      </c>
      <c r="C70" s="1645" t="s">
        <v>869</v>
      </c>
      <c r="D70" s="1650">
        <v>73123</v>
      </c>
      <c r="E70" s="1650">
        <v>46567.2</v>
      </c>
      <c r="F70" s="1650">
        <v>26555.8</v>
      </c>
      <c r="G70" s="1651">
        <v>1199</v>
      </c>
      <c r="H70" s="1652" t="s">
        <v>867</v>
      </c>
      <c r="I70" s="1654">
        <v>731.88</v>
      </c>
      <c r="J70" s="1645" t="s">
        <v>493</v>
      </c>
    </row>
    <row r="71" spans="2:10" s="1632" customFormat="1" ht="21.75" customHeight="1">
      <c r="B71" s="1645" t="s">
        <v>870</v>
      </c>
      <c r="C71" s="1645" t="s">
        <v>871</v>
      </c>
      <c r="D71" s="1650">
        <v>4019</v>
      </c>
      <c r="E71" s="1650">
        <v>4019</v>
      </c>
      <c r="F71" s="1655" t="s">
        <v>568</v>
      </c>
      <c r="G71" s="1656">
        <v>670</v>
      </c>
      <c r="H71" s="1652" t="s">
        <v>872</v>
      </c>
      <c r="I71" s="1652" t="s">
        <v>568</v>
      </c>
      <c r="J71" s="1645" t="s">
        <v>493</v>
      </c>
    </row>
    <row r="72" spans="2:10" s="1632" customFormat="1" ht="21.75" customHeight="1">
      <c r="B72" s="1645" t="s">
        <v>873</v>
      </c>
      <c r="C72" s="1658" t="s">
        <v>874</v>
      </c>
      <c r="D72" s="1650">
        <v>13177</v>
      </c>
      <c r="E72" s="1650">
        <v>13177</v>
      </c>
      <c r="F72" s="1655" t="s">
        <v>568</v>
      </c>
      <c r="G72" s="1659">
        <v>659</v>
      </c>
      <c r="H72" s="1652" t="s">
        <v>872</v>
      </c>
      <c r="I72" s="1660" t="s">
        <v>568</v>
      </c>
      <c r="J72" s="1645" t="s">
        <v>493</v>
      </c>
    </row>
    <row r="73" spans="2:10" s="1632" customFormat="1" ht="21.75" customHeight="1">
      <c r="B73" s="1645" t="s">
        <v>875</v>
      </c>
      <c r="C73" s="1645" t="s">
        <v>876</v>
      </c>
      <c r="D73" s="1650">
        <v>6446</v>
      </c>
      <c r="E73" s="1650">
        <v>6446</v>
      </c>
      <c r="F73" s="1655" t="s">
        <v>568</v>
      </c>
      <c r="G73" s="1656">
        <v>132</v>
      </c>
      <c r="H73" s="1652" t="s">
        <v>877</v>
      </c>
      <c r="I73" s="1652" t="s">
        <v>568</v>
      </c>
      <c r="J73" s="1645" t="s">
        <v>493</v>
      </c>
    </row>
    <row r="74" spans="2:10" s="1632" customFormat="1" ht="21.75" customHeight="1">
      <c r="B74" s="1645" t="s">
        <v>878</v>
      </c>
      <c r="C74" s="1645" t="s">
        <v>879</v>
      </c>
      <c r="D74" s="1650">
        <v>8729</v>
      </c>
      <c r="E74" s="1650">
        <v>8729</v>
      </c>
      <c r="F74" s="1655" t="s">
        <v>568</v>
      </c>
      <c r="G74" s="1656">
        <v>72</v>
      </c>
      <c r="H74" s="1652" t="s">
        <v>858</v>
      </c>
      <c r="I74" s="1652" t="s">
        <v>568</v>
      </c>
      <c r="J74" s="1645" t="s">
        <v>493</v>
      </c>
    </row>
    <row r="75" spans="2:10" s="1632" customFormat="1" ht="21.75" customHeight="1">
      <c r="B75" s="1645" t="s">
        <v>880</v>
      </c>
      <c r="C75" s="1645" t="s">
        <v>881</v>
      </c>
      <c r="D75" s="1650">
        <v>8729</v>
      </c>
      <c r="E75" s="1650">
        <v>8729</v>
      </c>
      <c r="F75" s="1655" t="s">
        <v>568</v>
      </c>
      <c r="G75" s="1656">
        <v>72</v>
      </c>
      <c r="H75" s="1652" t="s">
        <v>858</v>
      </c>
      <c r="I75" s="1652" t="s">
        <v>568</v>
      </c>
      <c r="J75" s="1645" t="s">
        <v>493</v>
      </c>
    </row>
    <row r="76" spans="2:10" s="1632" customFormat="1" ht="21.75" customHeight="1">
      <c r="B76" s="1645" t="s">
        <v>882</v>
      </c>
      <c r="C76" s="1645" t="s">
        <v>883</v>
      </c>
      <c r="D76" s="1650">
        <v>10009</v>
      </c>
      <c r="E76" s="1650">
        <v>10009</v>
      </c>
      <c r="F76" s="1655" t="s">
        <v>568</v>
      </c>
      <c r="G76" s="1656">
        <v>667</v>
      </c>
      <c r="H76" s="1652" t="s">
        <v>884</v>
      </c>
      <c r="I76" s="1652" t="s">
        <v>568</v>
      </c>
      <c r="J76" s="1645" t="s">
        <v>493</v>
      </c>
    </row>
    <row r="77" spans="2:10" s="1632" customFormat="1" ht="32.25" customHeight="1">
      <c r="B77" s="1645" t="s">
        <v>885</v>
      </c>
      <c r="C77" s="1645" t="s">
        <v>886</v>
      </c>
      <c r="D77" s="1650">
        <v>263962</v>
      </c>
      <c r="E77" s="1650">
        <v>263962</v>
      </c>
      <c r="F77" s="1655" t="s">
        <v>568</v>
      </c>
      <c r="G77" s="1656">
        <v>392</v>
      </c>
      <c r="H77" s="1652" t="s">
        <v>887</v>
      </c>
      <c r="I77" s="1652" t="s">
        <v>568</v>
      </c>
      <c r="J77" s="1645" t="s">
        <v>493</v>
      </c>
    </row>
    <row r="78" spans="2:10" s="1632" customFormat="1" ht="21.75" customHeight="1">
      <c r="B78" s="1645" t="s">
        <v>888</v>
      </c>
      <c r="C78" s="1645" t="s">
        <v>889</v>
      </c>
      <c r="D78" s="1650">
        <v>17932</v>
      </c>
      <c r="E78" s="1650">
        <v>17932</v>
      </c>
      <c r="F78" s="1655" t="s">
        <v>568</v>
      </c>
      <c r="G78" s="1656">
        <v>421</v>
      </c>
      <c r="H78" s="1652" t="s">
        <v>890</v>
      </c>
      <c r="I78" s="1652" t="s">
        <v>568</v>
      </c>
      <c r="J78" s="1645" t="s">
        <v>493</v>
      </c>
    </row>
    <row r="79" spans="2:10" s="1632" customFormat="1" ht="21.75" customHeight="1">
      <c r="B79" s="1645" t="s">
        <v>891</v>
      </c>
      <c r="C79" s="1645" t="s">
        <v>892</v>
      </c>
      <c r="D79" s="1650">
        <v>1839</v>
      </c>
      <c r="E79" s="1650">
        <v>1839</v>
      </c>
      <c r="F79" s="1655" t="s">
        <v>568</v>
      </c>
      <c r="G79" s="1656">
        <v>613</v>
      </c>
      <c r="H79" s="1652" t="s">
        <v>893</v>
      </c>
      <c r="I79" s="1652" t="s">
        <v>568</v>
      </c>
      <c r="J79" s="1645" t="s">
        <v>493</v>
      </c>
    </row>
    <row r="80" spans="2:10" s="1632" customFormat="1" ht="21.75" customHeight="1">
      <c r="B80" s="1645" t="s">
        <v>894</v>
      </c>
      <c r="C80" s="1645" t="s">
        <v>895</v>
      </c>
      <c r="D80" s="1650">
        <v>1839</v>
      </c>
      <c r="E80" s="1650">
        <v>1839</v>
      </c>
      <c r="F80" s="1655" t="s">
        <v>568</v>
      </c>
      <c r="G80" s="1656">
        <v>613</v>
      </c>
      <c r="H80" s="1652" t="s">
        <v>893</v>
      </c>
      <c r="I80" s="1652" t="s">
        <v>568</v>
      </c>
      <c r="J80" s="1645" t="s">
        <v>493</v>
      </c>
    </row>
    <row r="81" spans="2:10" s="1632" customFormat="1" ht="21.75" customHeight="1">
      <c r="B81" s="1645" t="s">
        <v>896</v>
      </c>
      <c r="C81" s="1645" t="s">
        <v>897</v>
      </c>
      <c r="D81" s="1650">
        <v>4700</v>
      </c>
      <c r="E81" s="1650">
        <v>4700</v>
      </c>
      <c r="F81" s="1655" t="s">
        <v>568</v>
      </c>
      <c r="G81" s="1656">
        <v>96</v>
      </c>
      <c r="H81" s="1652" t="s">
        <v>898</v>
      </c>
      <c r="I81" s="1652" t="s">
        <v>568</v>
      </c>
      <c r="J81" s="1645" t="s">
        <v>493</v>
      </c>
    </row>
    <row r="82" spans="2:10" s="1632" customFormat="1" ht="21.75" customHeight="1">
      <c r="B82" s="1645" t="s">
        <v>899</v>
      </c>
      <c r="C82" s="1645" t="s">
        <v>900</v>
      </c>
      <c r="D82" s="1650">
        <v>12600</v>
      </c>
      <c r="E82" s="1650">
        <v>12600</v>
      </c>
      <c r="F82" s="1655" t="s">
        <v>568</v>
      </c>
      <c r="G82" s="1656">
        <v>376</v>
      </c>
      <c r="H82" s="1652" t="s">
        <v>901</v>
      </c>
      <c r="I82" s="1652" t="s">
        <v>568</v>
      </c>
      <c r="J82" s="1645" t="s">
        <v>493</v>
      </c>
    </row>
    <row r="83" spans="2:10" s="1632" customFormat="1" ht="21.75" customHeight="1">
      <c r="B83" s="1645" t="s">
        <v>902</v>
      </c>
      <c r="C83" s="1645" t="s">
        <v>903</v>
      </c>
      <c r="D83" s="1650">
        <v>3106</v>
      </c>
      <c r="E83" s="1650">
        <v>3106</v>
      </c>
      <c r="F83" s="1655" t="s">
        <v>568</v>
      </c>
      <c r="G83" s="1656">
        <v>132</v>
      </c>
      <c r="H83" s="1652" t="s">
        <v>901</v>
      </c>
      <c r="I83" s="1652" t="s">
        <v>568</v>
      </c>
      <c r="J83" s="1645" t="s">
        <v>493</v>
      </c>
    </row>
    <row r="84" spans="2:10" s="1632" customFormat="1" ht="21.75" customHeight="1">
      <c r="B84" s="1645" t="s">
        <v>904</v>
      </c>
      <c r="C84" s="1645" t="s">
        <v>905</v>
      </c>
      <c r="D84" s="1650">
        <v>20426</v>
      </c>
      <c r="E84" s="1650">
        <v>20426</v>
      </c>
      <c r="F84" s="1655" t="s">
        <v>568</v>
      </c>
      <c r="G84" s="1656">
        <v>376</v>
      </c>
      <c r="H84" s="1652" t="s">
        <v>901</v>
      </c>
      <c r="I84" s="1652" t="s">
        <v>568</v>
      </c>
      <c r="J84" s="1645" t="s">
        <v>493</v>
      </c>
    </row>
    <row r="85" spans="2:10" s="1632" customFormat="1" ht="21.75" customHeight="1">
      <c r="B85" s="1645" t="s">
        <v>906</v>
      </c>
      <c r="C85" s="1645" t="s">
        <v>907</v>
      </c>
      <c r="D85" s="1650">
        <v>20426</v>
      </c>
      <c r="E85" s="1650">
        <v>20426</v>
      </c>
      <c r="F85" s="1655" t="s">
        <v>568</v>
      </c>
      <c r="G85" s="1656">
        <v>376</v>
      </c>
      <c r="H85" s="1652" t="s">
        <v>901</v>
      </c>
      <c r="I85" s="1652" t="s">
        <v>568</v>
      </c>
      <c r="J85" s="1645" t="s">
        <v>493</v>
      </c>
    </row>
    <row r="86" spans="2:10" s="1632" customFormat="1" ht="21.75" customHeight="1">
      <c r="B86" s="1645" t="s">
        <v>908</v>
      </c>
      <c r="C86" s="1645" t="s">
        <v>909</v>
      </c>
      <c r="D86" s="1650">
        <v>74120</v>
      </c>
      <c r="E86" s="1650">
        <v>74120</v>
      </c>
      <c r="F86" s="1655" t="s">
        <v>568</v>
      </c>
      <c r="G86" s="1656">
        <v>376</v>
      </c>
      <c r="H86" s="1652" t="s">
        <v>901</v>
      </c>
      <c r="I86" s="1652" t="s">
        <v>568</v>
      </c>
      <c r="J86" s="1645" t="s">
        <v>493</v>
      </c>
    </row>
    <row r="87" spans="2:10" s="1632" customFormat="1" ht="21.75" customHeight="1">
      <c r="B87" s="1645" t="s">
        <v>910</v>
      </c>
      <c r="C87" s="1645" t="s">
        <v>911</v>
      </c>
      <c r="D87" s="1650">
        <v>4686</v>
      </c>
      <c r="E87" s="1650">
        <v>4686</v>
      </c>
      <c r="F87" s="1655" t="s">
        <v>568</v>
      </c>
      <c r="G87" s="1656">
        <v>48</v>
      </c>
      <c r="H87" s="1652" t="s">
        <v>912</v>
      </c>
      <c r="I87" s="1652" t="s">
        <v>568</v>
      </c>
      <c r="J87" s="1645" t="s">
        <v>493</v>
      </c>
    </row>
    <row r="88" spans="2:10" s="1632" customFormat="1" ht="21.75" customHeight="1">
      <c r="B88" s="1645" t="s">
        <v>913</v>
      </c>
      <c r="C88" s="1645" t="s">
        <v>914</v>
      </c>
      <c r="D88" s="1650">
        <v>8787</v>
      </c>
      <c r="E88" s="1650">
        <v>8787</v>
      </c>
      <c r="F88" s="1655" t="s">
        <v>568</v>
      </c>
      <c r="G88" s="1656">
        <v>96</v>
      </c>
      <c r="H88" s="1652" t="s">
        <v>912</v>
      </c>
      <c r="I88" s="1652" t="s">
        <v>568</v>
      </c>
      <c r="J88" s="1645" t="s">
        <v>493</v>
      </c>
    </row>
    <row r="89" spans="2:10" s="1632" customFormat="1" ht="21.75" customHeight="1">
      <c r="B89" s="1645" t="s">
        <v>915</v>
      </c>
      <c r="C89" s="1645" t="s">
        <v>916</v>
      </c>
      <c r="D89" s="1650">
        <v>8787</v>
      </c>
      <c r="E89" s="1650">
        <v>8787</v>
      </c>
      <c r="F89" s="1655" t="s">
        <v>568</v>
      </c>
      <c r="G89" s="1656">
        <v>96</v>
      </c>
      <c r="H89" s="1652" t="s">
        <v>912</v>
      </c>
      <c r="I89" s="1652" t="s">
        <v>568</v>
      </c>
      <c r="J89" s="1645" t="s">
        <v>493</v>
      </c>
    </row>
    <row r="90" spans="2:10" s="1632" customFormat="1" ht="21.75" customHeight="1">
      <c r="B90" s="1645" t="s">
        <v>917</v>
      </c>
      <c r="C90" s="1645" t="s">
        <v>918</v>
      </c>
      <c r="D90" s="1650">
        <v>8787</v>
      </c>
      <c r="E90" s="1650">
        <v>8787</v>
      </c>
      <c r="F90" s="1655" t="s">
        <v>568</v>
      </c>
      <c r="G90" s="1656">
        <v>96</v>
      </c>
      <c r="H90" s="1652" t="s">
        <v>912</v>
      </c>
      <c r="I90" s="1652" t="s">
        <v>568</v>
      </c>
      <c r="J90" s="1645" t="s">
        <v>493</v>
      </c>
    </row>
    <row r="91" spans="2:10" s="1632" customFormat="1" ht="21.75" customHeight="1">
      <c r="B91" s="1645" t="s">
        <v>919</v>
      </c>
      <c r="C91" s="1645" t="s">
        <v>920</v>
      </c>
      <c r="D91" s="1650">
        <v>4359</v>
      </c>
      <c r="E91" s="1650">
        <v>4359</v>
      </c>
      <c r="F91" s="1655" t="s">
        <v>568</v>
      </c>
      <c r="G91" s="1656">
        <v>312</v>
      </c>
      <c r="H91" s="1652" t="s">
        <v>921</v>
      </c>
      <c r="I91" s="1652" t="s">
        <v>568</v>
      </c>
      <c r="J91" s="1645" t="s">
        <v>493</v>
      </c>
    </row>
    <row r="92" spans="2:10" s="1632" customFormat="1" ht="21.75" customHeight="1">
      <c r="B92" s="1645" t="s">
        <v>922</v>
      </c>
      <c r="C92" s="1645" t="s">
        <v>923</v>
      </c>
      <c r="D92" s="1650">
        <v>4359</v>
      </c>
      <c r="E92" s="1650">
        <v>4359</v>
      </c>
      <c r="F92" s="1655" t="s">
        <v>568</v>
      </c>
      <c r="G92" s="1656">
        <v>312</v>
      </c>
      <c r="H92" s="1652" t="s">
        <v>921</v>
      </c>
      <c r="I92" s="1652" t="s">
        <v>568</v>
      </c>
      <c r="J92" s="1645" t="s">
        <v>493</v>
      </c>
    </row>
    <row r="93" spans="2:10" s="1632" customFormat="1" ht="21.75" customHeight="1">
      <c r="B93" s="1645" t="s">
        <v>924</v>
      </c>
      <c r="C93" s="1645" t="s">
        <v>925</v>
      </c>
      <c r="D93" s="1650">
        <v>4361</v>
      </c>
      <c r="E93" s="1650">
        <v>4361</v>
      </c>
      <c r="F93" s="1655" t="s">
        <v>568</v>
      </c>
      <c r="G93" s="1656">
        <v>312</v>
      </c>
      <c r="H93" s="1652" t="s">
        <v>921</v>
      </c>
      <c r="I93" s="1652" t="s">
        <v>568</v>
      </c>
      <c r="J93" s="1645" t="s">
        <v>493</v>
      </c>
    </row>
    <row r="94" spans="2:10" s="1632" customFormat="1" ht="21.75" customHeight="1">
      <c r="B94" s="1645" t="s">
        <v>926</v>
      </c>
      <c r="C94" s="1645" t="s">
        <v>927</v>
      </c>
      <c r="D94" s="1650">
        <v>240071</v>
      </c>
      <c r="E94" s="1650">
        <v>240071</v>
      </c>
      <c r="F94" s="1655" t="s">
        <v>568</v>
      </c>
      <c r="G94" s="1656">
        <v>364</v>
      </c>
      <c r="H94" s="1652" t="s">
        <v>928</v>
      </c>
      <c r="I94" s="1652" t="s">
        <v>568</v>
      </c>
      <c r="J94" s="1645" t="s">
        <v>493</v>
      </c>
    </row>
    <row r="95" spans="2:10" s="1632" customFormat="1" ht="21.75" customHeight="1">
      <c r="B95" s="1645" t="s">
        <v>929</v>
      </c>
      <c r="C95" s="1645" t="s">
        <v>930</v>
      </c>
      <c r="D95" s="1650">
        <v>12143</v>
      </c>
      <c r="E95" s="1650">
        <v>12143</v>
      </c>
      <c r="F95" s="1655" t="s">
        <v>568</v>
      </c>
      <c r="G95" s="1656">
        <v>364</v>
      </c>
      <c r="H95" s="1652" t="s">
        <v>928</v>
      </c>
      <c r="I95" s="1652" t="s">
        <v>568</v>
      </c>
      <c r="J95" s="1645" t="s">
        <v>493</v>
      </c>
    </row>
    <row r="96" spans="2:10" s="1632" customFormat="1" ht="21.75" customHeight="1">
      <c r="B96" s="1645" t="s">
        <v>931</v>
      </c>
      <c r="C96" s="1645" t="s">
        <v>932</v>
      </c>
      <c r="D96" s="1650">
        <v>3213</v>
      </c>
      <c r="E96" s="1650">
        <v>3213</v>
      </c>
      <c r="F96" s="1655" t="s">
        <v>568</v>
      </c>
      <c r="G96" s="1656">
        <v>96</v>
      </c>
      <c r="H96" s="1652" t="s">
        <v>933</v>
      </c>
      <c r="I96" s="1652" t="s">
        <v>568</v>
      </c>
      <c r="J96" s="1645" t="s">
        <v>493</v>
      </c>
    </row>
    <row r="97" spans="2:10" s="1632" customFormat="1" ht="21.75" customHeight="1">
      <c r="B97" s="1645" t="s">
        <v>934</v>
      </c>
      <c r="C97" s="1645" t="s">
        <v>935</v>
      </c>
      <c r="D97" s="1650">
        <v>14806</v>
      </c>
      <c r="E97" s="1650">
        <v>14806</v>
      </c>
      <c r="F97" s="1655" t="s">
        <v>568</v>
      </c>
      <c r="G97" s="1656">
        <v>360</v>
      </c>
      <c r="H97" s="1652" t="s">
        <v>936</v>
      </c>
      <c r="I97" s="1652" t="s">
        <v>568</v>
      </c>
      <c r="J97" s="1645" t="s">
        <v>493</v>
      </c>
    </row>
    <row r="98" spans="2:10" s="1632" customFormat="1" ht="21.75" customHeight="1">
      <c r="B98" s="1645" t="s">
        <v>937</v>
      </c>
      <c r="C98" s="1645" t="s">
        <v>938</v>
      </c>
      <c r="D98" s="1650">
        <v>4232</v>
      </c>
      <c r="E98" s="1650">
        <v>4232</v>
      </c>
      <c r="F98" s="1655" t="s">
        <v>568</v>
      </c>
      <c r="G98" s="1656">
        <v>72</v>
      </c>
      <c r="H98" s="1652" t="s">
        <v>939</v>
      </c>
      <c r="I98" s="1652" t="s">
        <v>568</v>
      </c>
      <c r="J98" s="1645" t="s">
        <v>493</v>
      </c>
    </row>
    <row r="99" spans="2:10" s="1632" customFormat="1" ht="21.75" customHeight="1">
      <c r="B99" s="1645" t="s">
        <v>940</v>
      </c>
      <c r="C99" s="1645" t="s">
        <v>941</v>
      </c>
      <c r="D99" s="1661">
        <v>974</v>
      </c>
      <c r="E99" s="1661">
        <v>974</v>
      </c>
      <c r="F99" s="1655" t="s">
        <v>568</v>
      </c>
      <c r="G99" s="1656">
        <v>48</v>
      </c>
      <c r="H99" s="1652" t="s">
        <v>942</v>
      </c>
      <c r="I99" s="1652" t="s">
        <v>568</v>
      </c>
      <c r="J99" s="1645" t="s">
        <v>493</v>
      </c>
    </row>
    <row r="100" spans="2:10" s="1632" customFormat="1" ht="21.75" customHeight="1">
      <c r="B100" s="1645" t="s">
        <v>943</v>
      </c>
      <c r="C100" s="1645" t="s">
        <v>944</v>
      </c>
      <c r="D100" s="1650">
        <v>28229</v>
      </c>
      <c r="E100" s="1650">
        <v>28229</v>
      </c>
      <c r="F100" s="1655" t="s">
        <v>568</v>
      </c>
      <c r="G100" s="1656">
        <v>354</v>
      </c>
      <c r="H100" s="1652" t="s">
        <v>945</v>
      </c>
      <c r="I100" s="1652" t="s">
        <v>568</v>
      </c>
      <c r="J100" s="1645" t="s">
        <v>493</v>
      </c>
    </row>
    <row r="101" spans="2:10" s="1632" customFormat="1" ht="21.75" customHeight="1">
      <c r="B101" s="1645" t="s">
        <v>946</v>
      </c>
      <c r="C101" s="1658" t="s">
        <v>947</v>
      </c>
      <c r="D101" s="1650">
        <v>2671</v>
      </c>
      <c r="E101" s="1650">
        <v>2499</v>
      </c>
      <c r="F101" s="1661">
        <v>172</v>
      </c>
      <c r="G101" s="1659">
        <v>668</v>
      </c>
      <c r="H101" s="1652" t="s">
        <v>948</v>
      </c>
      <c r="I101" s="1662">
        <v>48</v>
      </c>
      <c r="J101" s="1645" t="s">
        <v>493</v>
      </c>
    </row>
    <row r="102" spans="2:10" s="1632" customFormat="1" ht="21.75" customHeight="1">
      <c r="B102" s="1645" t="s">
        <v>949</v>
      </c>
      <c r="C102" s="1658" t="s">
        <v>950</v>
      </c>
      <c r="D102" s="1650">
        <v>14820</v>
      </c>
      <c r="E102" s="1650">
        <v>14820</v>
      </c>
      <c r="F102" s="1655" t="s">
        <v>568</v>
      </c>
      <c r="G102" s="1659">
        <v>352</v>
      </c>
      <c r="H102" s="1652" t="s">
        <v>948</v>
      </c>
      <c r="I102" s="1660" t="s">
        <v>568</v>
      </c>
      <c r="J102" s="1645" t="s">
        <v>493</v>
      </c>
    </row>
    <row r="103" spans="2:10" s="1632" customFormat="1" ht="21.75" customHeight="1">
      <c r="B103" s="1645" t="s">
        <v>951</v>
      </c>
      <c r="C103" s="1658" t="s">
        <v>952</v>
      </c>
      <c r="D103" s="1650">
        <v>12299</v>
      </c>
      <c r="E103" s="1650">
        <v>12299</v>
      </c>
      <c r="F103" s="1655" t="s">
        <v>568</v>
      </c>
      <c r="G103" s="1659">
        <v>352</v>
      </c>
      <c r="H103" s="1652" t="s">
        <v>948</v>
      </c>
      <c r="I103" s="1660" t="s">
        <v>568</v>
      </c>
      <c r="J103" s="1645" t="s">
        <v>493</v>
      </c>
    </row>
    <row r="104" spans="2:10" s="1632" customFormat="1" ht="21.75" customHeight="1">
      <c r="B104" s="1645" t="s">
        <v>953</v>
      </c>
      <c r="C104" s="1645" t="s">
        <v>954</v>
      </c>
      <c r="D104" s="1650">
        <v>1811</v>
      </c>
      <c r="E104" s="1650">
        <v>1811</v>
      </c>
      <c r="F104" s="1655" t="s">
        <v>568</v>
      </c>
      <c r="G104" s="1656">
        <v>48</v>
      </c>
      <c r="H104" s="1652" t="s">
        <v>955</v>
      </c>
      <c r="I104" s="1652" t="s">
        <v>568</v>
      </c>
      <c r="J104" s="1645" t="s">
        <v>493</v>
      </c>
    </row>
    <row r="105" spans="2:10" s="1632" customFormat="1" ht="21.75" customHeight="1">
      <c r="B105" s="1645" t="s">
        <v>956</v>
      </c>
      <c r="C105" s="1645" t="s">
        <v>957</v>
      </c>
      <c r="D105" s="1650">
        <v>1635</v>
      </c>
      <c r="E105" s="1650">
        <v>1635</v>
      </c>
      <c r="F105" s="1655" t="s">
        <v>568</v>
      </c>
      <c r="G105" s="1656">
        <v>48</v>
      </c>
      <c r="H105" s="1652" t="s">
        <v>958</v>
      </c>
      <c r="I105" s="1652" t="s">
        <v>568</v>
      </c>
      <c r="J105" s="1645" t="s">
        <v>493</v>
      </c>
    </row>
    <row r="106" spans="2:10" s="1632" customFormat="1" ht="21.75" customHeight="1">
      <c r="B106" s="1645" t="s">
        <v>959</v>
      </c>
      <c r="C106" s="1645" t="s">
        <v>960</v>
      </c>
      <c r="D106" s="1661">
        <v>781</v>
      </c>
      <c r="E106" s="1661">
        <v>781</v>
      </c>
      <c r="F106" s="1655" t="s">
        <v>568</v>
      </c>
      <c r="G106" s="1656">
        <v>48</v>
      </c>
      <c r="H106" s="1652" t="s">
        <v>958</v>
      </c>
      <c r="I106" s="1652" t="s">
        <v>568</v>
      </c>
      <c r="J106" s="1645" t="s">
        <v>493</v>
      </c>
    </row>
    <row r="107" spans="2:10" s="1632" customFormat="1" ht="21.75" customHeight="1">
      <c r="B107" s="1645" t="s">
        <v>961</v>
      </c>
      <c r="C107" s="1658" t="s">
        <v>962</v>
      </c>
      <c r="D107" s="1650">
        <v>6047</v>
      </c>
      <c r="E107" s="1650">
        <v>5538</v>
      </c>
      <c r="F107" s="1661">
        <v>509</v>
      </c>
      <c r="G107" s="1659">
        <v>672</v>
      </c>
      <c r="H107" s="1652" t="s">
        <v>958</v>
      </c>
      <c r="I107" s="1662">
        <v>108</v>
      </c>
      <c r="J107" s="1645" t="s">
        <v>493</v>
      </c>
    </row>
    <row r="108" spans="2:10" s="1632" customFormat="1" ht="21.75" customHeight="1">
      <c r="B108" s="1645" t="s">
        <v>963</v>
      </c>
      <c r="C108" s="1658" t="s">
        <v>964</v>
      </c>
      <c r="D108" s="1650">
        <v>6052</v>
      </c>
      <c r="E108" s="1650">
        <v>5541.8</v>
      </c>
      <c r="F108" s="1661">
        <v>510.2</v>
      </c>
      <c r="G108" s="1659">
        <v>672</v>
      </c>
      <c r="H108" s="1652" t="s">
        <v>958</v>
      </c>
      <c r="I108" s="1662">
        <v>108.12</v>
      </c>
      <c r="J108" s="1645" t="s">
        <v>493</v>
      </c>
    </row>
    <row r="109" spans="2:10" s="1632" customFormat="1" ht="21.75" customHeight="1">
      <c r="B109" s="1645" t="s">
        <v>965</v>
      </c>
      <c r="C109" s="1645" t="s">
        <v>966</v>
      </c>
      <c r="D109" s="1650">
        <v>13616</v>
      </c>
      <c r="E109" s="1650">
        <v>13616</v>
      </c>
      <c r="F109" s="1655" t="s">
        <v>568</v>
      </c>
      <c r="G109" s="1656">
        <v>346</v>
      </c>
      <c r="H109" s="1652" t="s">
        <v>958</v>
      </c>
      <c r="I109" s="1652" t="s">
        <v>568</v>
      </c>
      <c r="J109" s="1645" t="s">
        <v>493</v>
      </c>
    </row>
    <row r="110" spans="2:10" s="1632" customFormat="1" ht="21.75" customHeight="1">
      <c r="B110" s="1645" t="s">
        <v>967</v>
      </c>
      <c r="C110" s="1645" t="s">
        <v>968</v>
      </c>
      <c r="D110" s="1650">
        <v>13616</v>
      </c>
      <c r="E110" s="1650">
        <v>13616</v>
      </c>
      <c r="F110" s="1655" t="s">
        <v>568</v>
      </c>
      <c r="G110" s="1656">
        <v>346</v>
      </c>
      <c r="H110" s="1652" t="s">
        <v>958</v>
      </c>
      <c r="I110" s="1652" t="s">
        <v>568</v>
      </c>
      <c r="J110" s="1645" t="s">
        <v>493</v>
      </c>
    </row>
    <row r="111" spans="2:10" s="1632" customFormat="1" ht="21.75" customHeight="1">
      <c r="B111" s="1645" t="s">
        <v>969</v>
      </c>
      <c r="C111" s="1658" t="s">
        <v>970</v>
      </c>
      <c r="D111" s="1650">
        <v>14874</v>
      </c>
      <c r="E111" s="1650">
        <v>13550</v>
      </c>
      <c r="F111" s="1650">
        <v>1324</v>
      </c>
      <c r="G111" s="1659">
        <v>676</v>
      </c>
      <c r="H111" s="1652" t="s">
        <v>971</v>
      </c>
      <c r="I111" s="1662">
        <v>264</v>
      </c>
      <c r="J111" s="1645" t="s">
        <v>493</v>
      </c>
    </row>
    <row r="112" spans="2:10" s="1632" customFormat="1" ht="21.75" customHeight="1">
      <c r="B112" s="1645" t="s">
        <v>972</v>
      </c>
      <c r="C112" s="1645" t="s">
        <v>973</v>
      </c>
      <c r="D112" s="1650">
        <v>4893</v>
      </c>
      <c r="E112" s="1650">
        <v>4893</v>
      </c>
      <c r="F112" s="1655" t="s">
        <v>568</v>
      </c>
      <c r="G112" s="1656">
        <v>72</v>
      </c>
      <c r="H112" s="1652" t="s">
        <v>971</v>
      </c>
      <c r="I112" s="1652" t="s">
        <v>568</v>
      </c>
      <c r="J112" s="1645" t="s">
        <v>493</v>
      </c>
    </row>
    <row r="113" spans="2:10" s="1632" customFormat="1" ht="32.25" customHeight="1">
      <c r="B113" s="1645" t="s">
        <v>974</v>
      </c>
      <c r="C113" s="1645" t="s">
        <v>975</v>
      </c>
      <c r="D113" s="1650">
        <v>1957</v>
      </c>
      <c r="E113" s="1650">
        <v>1957</v>
      </c>
      <c r="F113" s="1655" t="s">
        <v>568</v>
      </c>
      <c r="G113" s="1656">
        <v>48</v>
      </c>
      <c r="H113" s="1652" t="s">
        <v>976</v>
      </c>
      <c r="I113" s="1652" t="s">
        <v>568</v>
      </c>
      <c r="J113" s="1645" t="s">
        <v>493</v>
      </c>
    </row>
    <row r="114" spans="2:10" s="1632" customFormat="1" ht="21.75" customHeight="1">
      <c r="B114" s="1645" t="s">
        <v>977</v>
      </c>
      <c r="C114" s="1645" t="s">
        <v>978</v>
      </c>
      <c r="D114" s="1650">
        <v>1647</v>
      </c>
      <c r="E114" s="1650">
        <v>1647</v>
      </c>
      <c r="F114" s="1655" t="s">
        <v>568</v>
      </c>
      <c r="G114" s="1656">
        <v>48</v>
      </c>
      <c r="H114" s="1652" t="s">
        <v>979</v>
      </c>
      <c r="I114" s="1652" t="s">
        <v>568</v>
      </c>
      <c r="J114" s="1645" t="s">
        <v>493</v>
      </c>
    </row>
    <row r="115" spans="2:10" s="1632" customFormat="1" ht="21.75" customHeight="1">
      <c r="B115" s="1645" t="s">
        <v>980</v>
      </c>
      <c r="C115" s="1645" t="s">
        <v>981</v>
      </c>
      <c r="D115" s="1650">
        <v>26567</v>
      </c>
      <c r="E115" s="1650">
        <v>26567</v>
      </c>
      <c r="F115" s="1655" t="s">
        <v>568</v>
      </c>
      <c r="G115" s="1656">
        <v>340</v>
      </c>
      <c r="H115" s="1652" t="s">
        <v>982</v>
      </c>
      <c r="I115" s="1652" t="s">
        <v>568</v>
      </c>
      <c r="J115" s="1645" t="s">
        <v>493</v>
      </c>
    </row>
    <row r="116" spans="2:10" s="1632" customFormat="1" ht="21.75" customHeight="1">
      <c r="B116" s="1645" t="s">
        <v>983</v>
      </c>
      <c r="C116" s="1645" t="s">
        <v>981</v>
      </c>
      <c r="D116" s="1650">
        <v>26567</v>
      </c>
      <c r="E116" s="1650">
        <v>26567</v>
      </c>
      <c r="F116" s="1655" t="s">
        <v>568</v>
      </c>
      <c r="G116" s="1656">
        <v>340</v>
      </c>
      <c r="H116" s="1652" t="s">
        <v>982</v>
      </c>
      <c r="I116" s="1652" t="s">
        <v>568</v>
      </c>
      <c r="J116" s="1645" t="s">
        <v>493</v>
      </c>
    </row>
    <row r="117" spans="2:10" s="1632" customFormat="1" ht="21.75" customHeight="1">
      <c r="B117" s="1645" t="s">
        <v>984</v>
      </c>
      <c r="C117" s="1645" t="s">
        <v>981</v>
      </c>
      <c r="D117" s="1650">
        <v>26567</v>
      </c>
      <c r="E117" s="1650">
        <v>26567</v>
      </c>
      <c r="F117" s="1655" t="s">
        <v>568</v>
      </c>
      <c r="G117" s="1656">
        <v>340</v>
      </c>
      <c r="H117" s="1652" t="s">
        <v>982</v>
      </c>
      <c r="I117" s="1652" t="s">
        <v>568</v>
      </c>
      <c r="J117" s="1645" t="s">
        <v>493</v>
      </c>
    </row>
    <row r="118" spans="2:10" s="1632" customFormat="1" ht="21.75" customHeight="1">
      <c r="B118" s="1645" t="s">
        <v>985</v>
      </c>
      <c r="C118" s="1645" t="s">
        <v>981</v>
      </c>
      <c r="D118" s="1650">
        <v>26567</v>
      </c>
      <c r="E118" s="1650">
        <v>26567</v>
      </c>
      <c r="F118" s="1655" t="s">
        <v>568</v>
      </c>
      <c r="G118" s="1656">
        <v>340</v>
      </c>
      <c r="H118" s="1652" t="s">
        <v>982</v>
      </c>
      <c r="I118" s="1652" t="s">
        <v>568</v>
      </c>
      <c r="J118" s="1645" t="s">
        <v>493</v>
      </c>
    </row>
    <row r="119" spans="2:10" s="1632" customFormat="1" ht="21.75" customHeight="1">
      <c r="B119" s="1645" t="s">
        <v>986</v>
      </c>
      <c r="C119" s="1658" t="s">
        <v>987</v>
      </c>
      <c r="D119" s="1650">
        <v>2960</v>
      </c>
      <c r="E119" s="1650">
        <v>2580</v>
      </c>
      <c r="F119" s="1661">
        <v>380</v>
      </c>
      <c r="G119" s="1659">
        <v>740</v>
      </c>
      <c r="H119" s="1652" t="s">
        <v>982</v>
      </c>
      <c r="I119" s="1662">
        <v>48</v>
      </c>
      <c r="J119" s="1645" t="s">
        <v>493</v>
      </c>
    </row>
    <row r="120" spans="2:10" s="1632" customFormat="1" ht="21" customHeight="1">
      <c r="B120" s="1645" t="s">
        <v>988</v>
      </c>
      <c r="C120" s="1645" t="s">
        <v>989</v>
      </c>
      <c r="D120" s="1650">
        <v>12378</v>
      </c>
      <c r="E120" s="1650">
        <v>12378</v>
      </c>
      <c r="F120" s="1655" t="s">
        <v>568</v>
      </c>
      <c r="G120" s="1656">
        <v>340</v>
      </c>
      <c r="H120" s="1652" t="s">
        <v>982</v>
      </c>
      <c r="I120" s="1652" t="s">
        <v>568</v>
      </c>
      <c r="J120" s="1645" t="s">
        <v>493</v>
      </c>
    </row>
    <row r="121" spans="2:10" s="1632" customFormat="1" ht="19.5" customHeight="1">
      <c r="B121" s="1645" t="s">
        <v>990</v>
      </c>
      <c r="C121" s="1645" t="s">
        <v>991</v>
      </c>
      <c r="D121" s="1650">
        <v>12378</v>
      </c>
      <c r="E121" s="1650">
        <v>12378</v>
      </c>
      <c r="F121" s="1655" t="s">
        <v>568</v>
      </c>
      <c r="G121" s="1656">
        <v>340</v>
      </c>
      <c r="H121" s="1652" t="s">
        <v>982</v>
      </c>
      <c r="I121" s="1652" t="s">
        <v>568</v>
      </c>
      <c r="J121" s="1645" t="s">
        <v>493</v>
      </c>
    </row>
    <row r="122" spans="2:10" s="1632" customFormat="1" ht="16.5" customHeight="1">
      <c r="B122" s="1645" t="s">
        <v>992</v>
      </c>
      <c r="C122" s="1645" t="s">
        <v>993</v>
      </c>
      <c r="D122" s="1650">
        <v>12383</v>
      </c>
      <c r="E122" s="1650">
        <v>12383</v>
      </c>
      <c r="F122" s="1655" t="s">
        <v>568</v>
      </c>
      <c r="G122" s="1656">
        <v>340</v>
      </c>
      <c r="H122" s="1652" t="s">
        <v>982</v>
      </c>
      <c r="I122" s="1652" t="s">
        <v>568</v>
      </c>
      <c r="J122" s="1645" t="s">
        <v>493</v>
      </c>
    </row>
    <row r="123" spans="2:10" s="1632" customFormat="1" ht="21.75" customHeight="1">
      <c r="B123" s="1645" t="s">
        <v>994</v>
      </c>
      <c r="C123" s="1645" t="s">
        <v>995</v>
      </c>
      <c r="D123" s="1650">
        <v>2873143</v>
      </c>
      <c r="E123" s="1650">
        <v>1111276.2</v>
      </c>
      <c r="F123" s="1650">
        <v>1761866.8</v>
      </c>
      <c r="G123" s="1651">
        <v>1200</v>
      </c>
      <c r="H123" s="1652" t="s">
        <v>996</v>
      </c>
      <c r="I123" s="1653">
        <v>28731.48</v>
      </c>
      <c r="J123" s="1645" t="s">
        <v>493</v>
      </c>
    </row>
    <row r="124" spans="2:10" s="1632" customFormat="1" ht="21.75" customHeight="1">
      <c r="B124" s="1645" t="s">
        <v>997</v>
      </c>
      <c r="C124" s="1645" t="s">
        <v>998</v>
      </c>
      <c r="D124" s="1650">
        <v>86956</v>
      </c>
      <c r="E124" s="1650">
        <v>86956</v>
      </c>
      <c r="F124" s="1655" t="s">
        <v>568</v>
      </c>
      <c r="G124" s="1656">
        <v>351</v>
      </c>
      <c r="H124" s="1652" t="s">
        <v>999</v>
      </c>
      <c r="I124" s="1652" t="s">
        <v>568</v>
      </c>
      <c r="J124" s="1645" t="s">
        <v>493</v>
      </c>
    </row>
    <row r="125" spans="2:10" s="1632" customFormat="1" ht="21.75" customHeight="1">
      <c r="B125" s="1645" t="s">
        <v>1000</v>
      </c>
      <c r="C125" s="1645" t="s">
        <v>1001</v>
      </c>
      <c r="D125" s="1650">
        <v>27781</v>
      </c>
      <c r="E125" s="1650">
        <v>21429.6</v>
      </c>
      <c r="F125" s="1650">
        <v>6351.4</v>
      </c>
      <c r="G125" s="1656">
        <v>545</v>
      </c>
      <c r="H125" s="1652" t="s">
        <v>1002</v>
      </c>
      <c r="I125" s="1654">
        <v>611.64</v>
      </c>
      <c r="J125" s="1645" t="s">
        <v>493</v>
      </c>
    </row>
    <row r="126" spans="2:10" s="1632" customFormat="1" ht="21.75" customHeight="1">
      <c r="B126" s="1645" t="s">
        <v>1003</v>
      </c>
      <c r="C126" s="1645" t="s">
        <v>938</v>
      </c>
      <c r="D126" s="1650">
        <v>1205</v>
      </c>
      <c r="E126" s="1650">
        <v>1205</v>
      </c>
      <c r="F126" s="1655" t="s">
        <v>568</v>
      </c>
      <c r="G126" s="1656">
        <v>72</v>
      </c>
      <c r="H126" s="1652" t="s">
        <v>1002</v>
      </c>
      <c r="I126" s="1652" t="s">
        <v>568</v>
      </c>
      <c r="J126" s="1645" t="s">
        <v>493</v>
      </c>
    </row>
    <row r="127" spans="2:10" s="1632" customFormat="1" ht="21.75" customHeight="1">
      <c r="B127" s="1645" t="s">
        <v>1004</v>
      </c>
      <c r="C127" s="1645" t="s">
        <v>1005</v>
      </c>
      <c r="D127" s="1650">
        <v>11919</v>
      </c>
      <c r="E127" s="1650">
        <v>11919</v>
      </c>
      <c r="F127" s="1655" t="s">
        <v>568</v>
      </c>
      <c r="G127" s="1656">
        <v>339</v>
      </c>
      <c r="H127" s="1652" t="s">
        <v>1002</v>
      </c>
      <c r="I127" s="1652" t="s">
        <v>568</v>
      </c>
      <c r="J127" s="1645" t="s">
        <v>493</v>
      </c>
    </row>
    <row r="128" spans="2:10" s="1632" customFormat="1" ht="21.75" customHeight="1">
      <c r="B128" s="1645" t="s">
        <v>1006</v>
      </c>
      <c r="C128" s="1645" t="s">
        <v>1005</v>
      </c>
      <c r="D128" s="1650">
        <v>11919</v>
      </c>
      <c r="E128" s="1650">
        <v>11919</v>
      </c>
      <c r="F128" s="1655" t="s">
        <v>568</v>
      </c>
      <c r="G128" s="1656">
        <v>339</v>
      </c>
      <c r="H128" s="1652" t="s">
        <v>1002</v>
      </c>
      <c r="I128" s="1652" t="s">
        <v>568</v>
      </c>
      <c r="J128" s="1645" t="s">
        <v>493</v>
      </c>
    </row>
    <row r="129" spans="2:10" s="1632" customFormat="1" ht="21.75" customHeight="1">
      <c r="B129" s="1645" t="s">
        <v>1007</v>
      </c>
      <c r="C129" s="1645" t="s">
        <v>1008</v>
      </c>
      <c r="D129" s="1650">
        <v>4634</v>
      </c>
      <c r="E129" s="1650">
        <v>4634</v>
      </c>
      <c r="F129" s="1655" t="s">
        <v>568</v>
      </c>
      <c r="G129" s="1656">
        <v>72</v>
      </c>
      <c r="H129" s="1652" t="s">
        <v>1002</v>
      </c>
      <c r="I129" s="1652" t="s">
        <v>568</v>
      </c>
      <c r="J129" s="1645" t="s">
        <v>493</v>
      </c>
    </row>
    <row r="130" spans="2:10" s="1632" customFormat="1" ht="21.75" customHeight="1">
      <c r="B130" s="1645" t="s">
        <v>1009</v>
      </c>
      <c r="C130" s="1645" t="s">
        <v>1008</v>
      </c>
      <c r="D130" s="1650">
        <v>4634</v>
      </c>
      <c r="E130" s="1650">
        <v>4634</v>
      </c>
      <c r="F130" s="1655" t="s">
        <v>568</v>
      </c>
      <c r="G130" s="1656">
        <v>72</v>
      </c>
      <c r="H130" s="1652" t="s">
        <v>1002</v>
      </c>
      <c r="I130" s="1652" t="s">
        <v>568</v>
      </c>
      <c r="J130" s="1645" t="s">
        <v>493</v>
      </c>
    </row>
    <row r="131" spans="2:10" s="1632" customFormat="1" ht="21.75" customHeight="1">
      <c r="B131" s="1645" t="s">
        <v>1010</v>
      </c>
      <c r="C131" s="1645" t="s">
        <v>1008</v>
      </c>
      <c r="D131" s="1650">
        <v>4639</v>
      </c>
      <c r="E131" s="1650">
        <v>4639</v>
      </c>
      <c r="F131" s="1655" t="s">
        <v>568</v>
      </c>
      <c r="G131" s="1656">
        <v>72</v>
      </c>
      <c r="H131" s="1652" t="s">
        <v>1002</v>
      </c>
      <c r="I131" s="1652" t="s">
        <v>568</v>
      </c>
      <c r="J131" s="1645" t="s">
        <v>493</v>
      </c>
    </row>
    <row r="132" spans="2:10" s="1632" customFormat="1" ht="21.75" customHeight="1">
      <c r="B132" s="1645" t="s">
        <v>1011</v>
      </c>
      <c r="C132" s="1645" t="s">
        <v>1008</v>
      </c>
      <c r="D132" s="1650">
        <v>4639</v>
      </c>
      <c r="E132" s="1650">
        <v>4639</v>
      </c>
      <c r="F132" s="1655" t="s">
        <v>568</v>
      </c>
      <c r="G132" s="1656">
        <v>72</v>
      </c>
      <c r="H132" s="1652" t="s">
        <v>1002</v>
      </c>
      <c r="I132" s="1652" t="s">
        <v>568</v>
      </c>
      <c r="J132" s="1645" t="s">
        <v>493</v>
      </c>
    </row>
    <row r="133" spans="2:10" s="1632" customFormat="1" ht="21.75" customHeight="1">
      <c r="B133" s="1645" t="s">
        <v>1012</v>
      </c>
      <c r="C133" s="1645" t="s">
        <v>1013</v>
      </c>
      <c r="D133" s="1650">
        <v>1357</v>
      </c>
      <c r="E133" s="1650">
        <v>1357</v>
      </c>
      <c r="F133" s="1655" t="s">
        <v>568</v>
      </c>
      <c r="G133" s="1656">
        <v>72</v>
      </c>
      <c r="H133" s="1652" t="s">
        <v>1014</v>
      </c>
      <c r="I133" s="1652" t="s">
        <v>568</v>
      </c>
      <c r="J133" s="1645" t="s">
        <v>493</v>
      </c>
    </row>
    <row r="134" spans="2:10" s="1632" customFormat="1" ht="21.75" customHeight="1">
      <c r="B134" s="1645" t="s">
        <v>1015</v>
      </c>
      <c r="C134" s="1658" t="s">
        <v>1016</v>
      </c>
      <c r="D134" s="1650">
        <v>14874</v>
      </c>
      <c r="E134" s="1650">
        <v>13238</v>
      </c>
      <c r="F134" s="1650">
        <v>1636</v>
      </c>
      <c r="G134" s="1659">
        <v>676</v>
      </c>
      <c r="H134" s="1652" t="s">
        <v>1014</v>
      </c>
      <c r="I134" s="1662">
        <v>264</v>
      </c>
      <c r="J134" s="1645" t="s">
        <v>493</v>
      </c>
    </row>
    <row r="135" spans="2:10" s="1632" customFormat="1" ht="21.75" customHeight="1">
      <c r="B135" s="1645" t="s">
        <v>1017</v>
      </c>
      <c r="C135" s="1645" t="s">
        <v>1018</v>
      </c>
      <c r="D135" s="1661">
        <v>892</v>
      </c>
      <c r="E135" s="1661">
        <v>892</v>
      </c>
      <c r="F135" s="1655" t="s">
        <v>568</v>
      </c>
      <c r="G135" s="1656">
        <v>48</v>
      </c>
      <c r="H135" s="1652" t="s">
        <v>1019</v>
      </c>
      <c r="I135" s="1652" t="s">
        <v>568</v>
      </c>
      <c r="J135" s="1645" t="s">
        <v>493</v>
      </c>
    </row>
    <row r="136" spans="2:10" s="1632" customFormat="1" ht="21.75" customHeight="1">
      <c r="B136" s="1645" t="s">
        <v>1020</v>
      </c>
      <c r="C136" s="1645" t="s">
        <v>1021</v>
      </c>
      <c r="D136" s="1650">
        <v>3045</v>
      </c>
      <c r="E136" s="1650">
        <v>3045</v>
      </c>
      <c r="F136" s="1655" t="s">
        <v>568</v>
      </c>
      <c r="G136" s="1656">
        <v>72</v>
      </c>
      <c r="H136" s="1652" t="s">
        <v>1019</v>
      </c>
      <c r="I136" s="1652" t="s">
        <v>568</v>
      </c>
      <c r="J136" s="1645" t="s">
        <v>493</v>
      </c>
    </row>
    <row r="137" spans="2:10" s="1632" customFormat="1" ht="21.75" customHeight="1">
      <c r="B137" s="1645" t="s">
        <v>1022</v>
      </c>
      <c r="C137" s="1645" t="s">
        <v>1023</v>
      </c>
      <c r="D137" s="1650">
        <v>5100</v>
      </c>
      <c r="E137" s="1650">
        <v>5100</v>
      </c>
      <c r="F137" s="1655" t="s">
        <v>568</v>
      </c>
      <c r="G137" s="1656">
        <v>72</v>
      </c>
      <c r="H137" s="1652" t="s">
        <v>1024</v>
      </c>
      <c r="I137" s="1652" t="s">
        <v>568</v>
      </c>
      <c r="J137" s="1645" t="s">
        <v>493</v>
      </c>
    </row>
    <row r="138" spans="2:10" s="1632" customFormat="1" ht="21.75" customHeight="1">
      <c r="B138" s="1645" t="s">
        <v>1025</v>
      </c>
      <c r="C138" s="1645" t="s">
        <v>1026</v>
      </c>
      <c r="D138" s="1650">
        <v>5100</v>
      </c>
      <c r="E138" s="1650">
        <v>5100</v>
      </c>
      <c r="F138" s="1655" t="s">
        <v>568</v>
      </c>
      <c r="G138" s="1656">
        <v>72</v>
      </c>
      <c r="H138" s="1652" t="s">
        <v>1024</v>
      </c>
      <c r="I138" s="1652" t="s">
        <v>568</v>
      </c>
      <c r="J138" s="1645" t="s">
        <v>493</v>
      </c>
    </row>
    <row r="139" spans="2:10" s="1632" customFormat="1" ht="21.75" customHeight="1">
      <c r="B139" s="1645" t="s">
        <v>1027</v>
      </c>
      <c r="C139" s="1645" t="s">
        <v>1028</v>
      </c>
      <c r="D139" s="1650">
        <v>8665</v>
      </c>
      <c r="E139" s="1650">
        <v>8665</v>
      </c>
      <c r="F139" s="1655" t="s">
        <v>568</v>
      </c>
      <c r="G139" s="1656">
        <v>72</v>
      </c>
      <c r="H139" s="1652" t="s">
        <v>1024</v>
      </c>
      <c r="I139" s="1652" t="s">
        <v>568</v>
      </c>
      <c r="J139" s="1645" t="s">
        <v>493</v>
      </c>
    </row>
    <row r="140" spans="2:10" s="1632" customFormat="1" ht="21.75" customHeight="1">
      <c r="B140" s="1645" t="s">
        <v>1029</v>
      </c>
      <c r="C140" s="1645" t="s">
        <v>1030</v>
      </c>
      <c r="D140" s="1650">
        <v>2018</v>
      </c>
      <c r="E140" s="1650">
        <v>2018</v>
      </c>
      <c r="F140" s="1655" t="s">
        <v>568</v>
      </c>
      <c r="G140" s="1656">
        <v>72</v>
      </c>
      <c r="H140" s="1652" t="s">
        <v>1024</v>
      </c>
      <c r="I140" s="1652" t="s">
        <v>568</v>
      </c>
      <c r="J140" s="1645" t="s">
        <v>493</v>
      </c>
    </row>
    <row r="141" spans="2:10" s="1632" customFormat="1" ht="21.75" customHeight="1">
      <c r="B141" s="1645" t="s">
        <v>1031</v>
      </c>
      <c r="C141" s="1645" t="s">
        <v>1032</v>
      </c>
      <c r="D141" s="1650">
        <v>11461</v>
      </c>
      <c r="E141" s="1650">
        <v>11461</v>
      </c>
      <c r="F141" s="1655" t="s">
        <v>568</v>
      </c>
      <c r="G141" s="1656">
        <v>336</v>
      </c>
      <c r="H141" s="1652" t="s">
        <v>1024</v>
      </c>
      <c r="I141" s="1652" t="s">
        <v>568</v>
      </c>
      <c r="J141" s="1645" t="s">
        <v>493</v>
      </c>
    </row>
    <row r="142" spans="2:10" s="1632" customFormat="1" ht="21.75" customHeight="1">
      <c r="B142" s="1645" t="s">
        <v>1033</v>
      </c>
      <c r="C142" s="1645" t="s">
        <v>1034</v>
      </c>
      <c r="D142" s="1650">
        <v>1595</v>
      </c>
      <c r="E142" s="1650">
        <v>1595</v>
      </c>
      <c r="F142" s="1655" t="s">
        <v>568</v>
      </c>
      <c r="G142" s="1656">
        <v>72</v>
      </c>
      <c r="H142" s="1652" t="s">
        <v>1024</v>
      </c>
      <c r="I142" s="1652" t="s">
        <v>568</v>
      </c>
      <c r="J142" s="1645" t="s">
        <v>493</v>
      </c>
    </row>
    <row r="143" spans="2:10" s="1632" customFormat="1" ht="21.75" customHeight="1">
      <c r="B143" s="1645" t="s">
        <v>1035</v>
      </c>
      <c r="C143" s="1645" t="s">
        <v>1036</v>
      </c>
      <c r="D143" s="1650">
        <v>1538</v>
      </c>
      <c r="E143" s="1650">
        <v>1538</v>
      </c>
      <c r="F143" s="1655" t="s">
        <v>568</v>
      </c>
      <c r="G143" s="1656">
        <v>48</v>
      </c>
      <c r="H143" s="1652" t="s">
        <v>1024</v>
      </c>
      <c r="I143" s="1652" t="s">
        <v>568</v>
      </c>
      <c r="J143" s="1645" t="s">
        <v>493</v>
      </c>
    </row>
    <row r="144" spans="2:10" s="1632" customFormat="1" ht="21.75" customHeight="1">
      <c r="B144" s="1645" t="s">
        <v>1037</v>
      </c>
      <c r="C144" s="1645" t="s">
        <v>1038</v>
      </c>
      <c r="D144" s="1650">
        <v>7114</v>
      </c>
      <c r="E144" s="1650">
        <v>7114</v>
      </c>
      <c r="F144" s="1655" t="s">
        <v>568</v>
      </c>
      <c r="G144" s="1656">
        <v>72</v>
      </c>
      <c r="H144" s="1652" t="s">
        <v>1024</v>
      </c>
      <c r="I144" s="1652" t="s">
        <v>568</v>
      </c>
      <c r="J144" s="1645" t="s">
        <v>493</v>
      </c>
    </row>
    <row r="145" spans="2:10" s="1632" customFormat="1" ht="21.75" customHeight="1">
      <c r="B145" s="1645" t="s">
        <v>1039</v>
      </c>
      <c r="C145" s="1645" t="s">
        <v>1040</v>
      </c>
      <c r="D145" s="1650">
        <v>7118</v>
      </c>
      <c r="E145" s="1650">
        <v>7118</v>
      </c>
      <c r="F145" s="1655" t="s">
        <v>568</v>
      </c>
      <c r="G145" s="1656">
        <v>72</v>
      </c>
      <c r="H145" s="1652" t="s">
        <v>1024</v>
      </c>
      <c r="I145" s="1652" t="s">
        <v>568</v>
      </c>
      <c r="J145" s="1645" t="s">
        <v>493</v>
      </c>
    </row>
    <row r="146" spans="2:10" s="1632" customFormat="1" ht="21.75" customHeight="1">
      <c r="B146" s="1645" t="s">
        <v>1041</v>
      </c>
      <c r="C146" s="1645" t="s">
        <v>1042</v>
      </c>
      <c r="D146" s="1650">
        <v>14378</v>
      </c>
      <c r="E146" s="1650">
        <v>14378</v>
      </c>
      <c r="F146" s="1655" t="s">
        <v>568</v>
      </c>
      <c r="G146" s="1656">
        <v>330</v>
      </c>
      <c r="H146" s="1652" t="s">
        <v>1043</v>
      </c>
      <c r="I146" s="1652" t="s">
        <v>568</v>
      </c>
      <c r="J146" s="1645" t="s">
        <v>493</v>
      </c>
    </row>
    <row r="147" spans="2:10" s="1632" customFormat="1" ht="21.75" customHeight="1">
      <c r="B147" s="1645" t="s">
        <v>1044</v>
      </c>
      <c r="C147" s="1645" t="s">
        <v>1045</v>
      </c>
      <c r="D147" s="1650">
        <v>14375</v>
      </c>
      <c r="E147" s="1650">
        <v>14375</v>
      </c>
      <c r="F147" s="1655" t="s">
        <v>568</v>
      </c>
      <c r="G147" s="1656">
        <v>330</v>
      </c>
      <c r="H147" s="1652" t="s">
        <v>1043</v>
      </c>
      <c r="I147" s="1652" t="s">
        <v>568</v>
      </c>
      <c r="J147" s="1645" t="s">
        <v>493</v>
      </c>
    </row>
    <row r="148" spans="2:10" s="1632" customFormat="1" ht="21.75" customHeight="1">
      <c r="B148" s="1645" t="s">
        <v>1046</v>
      </c>
      <c r="C148" s="1645" t="s">
        <v>1047</v>
      </c>
      <c r="D148" s="1650">
        <v>15997</v>
      </c>
      <c r="E148" s="1650">
        <v>15997</v>
      </c>
      <c r="F148" s="1655" t="s">
        <v>568</v>
      </c>
      <c r="G148" s="1656">
        <v>330</v>
      </c>
      <c r="H148" s="1652" t="s">
        <v>1043</v>
      </c>
      <c r="I148" s="1652" t="s">
        <v>568</v>
      </c>
      <c r="J148" s="1645" t="s">
        <v>493</v>
      </c>
    </row>
    <row r="149" spans="2:10" s="1632" customFormat="1" ht="21.75" customHeight="1">
      <c r="B149" s="1645" t="s">
        <v>1048</v>
      </c>
      <c r="C149" s="1645" t="s">
        <v>1049</v>
      </c>
      <c r="D149" s="1650">
        <v>15997</v>
      </c>
      <c r="E149" s="1650">
        <v>15997</v>
      </c>
      <c r="F149" s="1655" t="s">
        <v>568</v>
      </c>
      <c r="G149" s="1656">
        <v>330</v>
      </c>
      <c r="H149" s="1652" t="s">
        <v>1043</v>
      </c>
      <c r="I149" s="1652" t="s">
        <v>568</v>
      </c>
      <c r="J149" s="1645" t="s">
        <v>493</v>
      </c>
    </row>
    <row r="150" spans="2:10" s="1632" customFormat="1" ht="21.75" customHeight="1">
      <c r="B150" s="1645" t="s">
        <v>1050</v>
      </c>
      <c r="C150" s="1645" t="s">
        <v>1051</v>
      </c>
      <c r="D150" s="1650">
        <v>10679</v>
      </c>
      <c r="E150" s="1650">
        <v>10679</v>
      </c>
      <c r="F150" s="1655" t="s">
        <v>568</v>
      </c>
      <c r="G150" s="1656">
        <v>330</v>
      </c>
      <c r="H150" s="1652" t="s">
        <v>1043</v>
      </c>
      <c r="I150" s="1652" t="s">
        <v>568</v>
      </c>
      <c r="J150" s="1645" t="s">
        <v>493</v>
      </c>
    </row>
    <row r="151" spans="2:10" s="1632" customFormat="1" ht="32.25" customHeight="1">
      <c r="B151" s="1645" t="s">
        <v>1052</v>
      </c>
      <c r="C151" s="1645" t="s">
        <v>1053</v>
      </c>
      <c r="D151" s="1650">
        <v>4359</v>
      </c>
      <c r="E151" s="1650">
        <v>4359</v>
      </c>
      <c r="F151" s="1655" t="s">
        <v>568</v>
      </c>
      <c r="G151" s="1656">
        <v>72</v>
      </c>
      <c r="H151" s="1652" t="s">
        <v>996</v>
      </c>
      <c r="I151" s="1652" t="s">
        <v>568</v>
      </c>
      <c r="J151" s="1645" t="s">
        <v>493</v>
      </c>
    </row>
    <row r="152" spans="2:10" s="1632" customFormat="1" ht="32.25" customHeight="1">
      <c r="B152" s="1645" t="s">
        <v>1054</v>
      </c>
      <c r="C152" s="1645" t="s">
        <v>1055</v>
      </c>
      <c r="D152" s="1650">
        <v>3772</v>
      </c>
      <c r="E152" s="1650">
        <v>3772</v>
      </c>
      <c r="F152" s="1655" t="s">
        <v>568</v>
      </c>
      <c r="G152" s="1656">
        <v>72</v>
      </c>
      <c r="H152" s="1652" t="s">
        <v>996</v>
      </c>
      <c r="I152" s="1652" t="s">
        <v>568</v>
      </c>
      <c r="J152" s="1645" t="s">
        <v>493</v>
      </c>
    </row>
    <row r="153" spans="2:10" s="1632" customFormat="1" ht="32.25" customHeight="1">
      <c r="B153" s="1645" t="s">
        <v>1056</v>
      </c>
      <c r="C153" s="1645" t="s">
        <v>1057</v>
      </c>
      <c r="D153" s="1650">
        <v>3799</v>
      </c>
      <c r="E153" s="1650">
        <v>3799</v>
      </c>
      <c r="F153" s="1655" t="s">
        <v>568</v>
      </c>
      <c r="G153" s="1656">
        <v>72</v>
      </c>
      <c r="H153" s="1652" t="s">
        <v>996</v>
      </c>
      <c r="I153" s="1652" t="s">
        <v>568</v>
      </c>
      <c r="J153" s="1645" t="s">
        <v>493</v>
      </c>
    </row>
    <row r="154" spans="2:10" s="1632" customFormat="1" ht="20.25" customHeight="1">
      <c r="B154" s="1645" t="s">
        <v>1058</v>
      </c>
      <c r="C154" s="1645" t="s">
        <v>1059</v>
      </c>
      <c r="D154" s="1650">
        <v>6879</v>
      </c>
      <c r="E154" s="1650">
        <v>6879</v>
      </c>
      <c r="F154" s="1655" t="s">
        <v>568</v>
      </c>
      <c r="G154" s="1656">
        <v>72</v>
      </c>
      <c r="H154" s="1652" t="s">
        <v>1060</v>
      </c>
      <c r="I154" s="1652" t="s">
        <v>568</v>
      </c>
      <c r="J154" s="1645" t="s">
        <v>493</v>
      </c>
    </row>
    <row r="155" spans="2:10" s="1632" customFormat="1" ht="22.5" customHeight="1">
      <c r="B155" s="1645" t="s">
        <v>1061</v>
      </c>
      <c r="C155" s="1645" t="s">
        <v>1062</v>
      </c>
      <c r="D155" s="1650">
        <v>10680</v>
      </c>
      <c r="E155" s="1650">
        <v>10680</v>
      </c>
      <c r="F155" s="1655" t="s">
        <v>568</v>
      </c>
      <c r="G155" s="1656">
        <v>323</v>
      </c>
      <c r="H155" s="1652" t="s">
        <v>1060</v>
      </c>
      <c r="I155" s="1652" t="s">
        <v>568</v>
      </c>
      <c r="J155" s="1645" t="s">
        <v>493</v>
      </c>
    </row>
    <row r="156" spans="2:10" s="1632" customFormat="1" ht="21.75" customHeight="1">
      <c r="B156" s="1645" t="s">
        <v>1063</v>
      </c>
      <c r="C156" s="1645" t="s">
        <v>1064</v>
      </c>
      <c r="D156" s="1650">
        <v>1083</v>
      </c>
      <c r="E156" s="1650">
        <v>1083</v>
      </c>
      <c r="F156" s="1655" t="s">
        <v>568</v>
      </c>
      <c r="G156" s="1656">
        <v>48</v>
      </c>
      <c r="H156" s="1652" t="s">
        <v>1065</v>
      </c>
      <c r="I156" s="1652" t="s">
        <v>568</v>
      </c>
      <c r="J156" s="1645" t="s">
        <v>493</v>
      </c>
    </row>
    <row r="157" spans="2:10" s="1632" customFormat="1" ht="21.75" customHeight="1">
      <c r="B157" s="1645" t="s">
        <v>1066</v>
      </c>
      <c r="C157" s="1645" t="s">
        <v>1067</v>
      </c>
      <c r="D157" s="1650">
        <v>1081</v>
      </c>
      <c r="E157" s="1650">
        <v>1081</v>
      </c>
      <c r="F157" s="1655" t="s">
        <v>568</v>
      </c>
      <c r="G157" s="1656">
        <v>48</v>
      </c>
      <c r="H157" s="1652" t="s">
        <v>1065</v>
      </c>
      <c r="I157" s="1652" t="s">
        <v>568</v>
      </c>
      <c r="J157" s="1645" t="s">
        <v>493</v>
      </c>
    </row>
    <row r="158" spans="2:10" s="1632" customFormat="1" ht="21.75" customHeight="1">
      <c r="B158" s="1645" t="s">
        <v>1068</v>
      </c>
      <c r="C158" s="1645" t="s">
        <v>1069</v>
      </c>
      <c r="D158" s="1661">
        <v>972</v>
      </c>
      <c r="E158" s="1661">
        <v>972</v>
      </c>
      <c r="F158" s="1655" t="s">
        <v>568</v>
      </c>
      <c r="G158" s="1656">
        <v>48</v>
      </c>
      <c r="H158" s="1652" t="s">
        <v>1065</v>
      </c>
      <c r="I158" s="1652" t="s">
        <v>568</v>
      </c>
      <c r="J158" s="1645" t="s">
        <v>493</v>
      </c>
    </row>
    <row r="159" spans="2:10" s="1632" customFormat="1" ht="24" customHeight="1">
      <c r="B159" s="1645" t="s">
        <v>1070</v>
      </c>
      <c r="C159" s="1658" t="s">
        <v>1071</v>
      </c>
      <c r="D159" s="1650">
        <v>27758</v>
      </c>
      <c r="E159" s="1650">
        <v>23135.2</v>
      </c>
      <c r="F159" s="1650">
        <v>4622.8</v>
      </c>
      <c r="G159" s="1659">
        <v>661</v>
      </c>
      <c r="H159" s="1652" t="s">
        <v>1072</v>
      </c>
      <c r="I159" s="1662">
        <v>503.88</v>
      </c>
      <c r="J159" s="1645" t="s">
        <v>493</v>
      </c>
    </row>
    <row r="160" spans="2:10" s="1632" customFormat="1" ht="25.5" customHeight="1">
      <c r="B160" s="1645" t="s">
        <v>1073</v>
      </c>
      <c r="C160" s="1658" t="s">
        <v>1074</v>
      </c>
      <c r="D160" s="1650">
        <v>27762</v>
      </c>
      <c r="E160" s="1650">
        <v>23138</v>
      </c>
      <c r="F160" s="1650">
        <v>4624</v>
      </c>
      <c r="G160" s="1659">
        <v>661</v>
      </c>
      <c r="H160" s="1652" t="s">
        <v>1072</v>
      </c>
      <c r="I160" s="1662">
        <v>504</v>
      </c>
      <c r="J160" s="1645" t="s">
        <v>493</v>
      </c>
    </row>
    <row r="161" spans="2:10" s="1632" customFormat="1" ht="21.75" customHeight="1">
      <c r="B161" s="1645" t="s">
        <v>1075</v>
      </c>
      <c r="C161" s="1645" t="s">
        <v>1076</v>
      </c>
      <c r="D161" s="1650">
        <v>6151</v>
      </c>
      <c r="E161" s="1650">
        <v>5068.8</v>
      </c>
      <c r="F161" s="1650">
        <v>1082.2</v>
      </c>
      <c r="G161" s="1656">
        <v>683</v>
      </c>
      <c r="H161" s="1652" t="s">
        <v>1072</v>
      </c>
      <c r="I161" s="1654">
        <v>108.12</v>
      </c>
      <c r="J161" s="1645" t="s">
        <v>493</v>
      </c>
    </row>
    <row r="162" spans="2:10" s="1632" customFormat="1" ht="21" customHeight="1">
      <c r="B162" s="1645" t="s">
        <v>1077</v>
      </c>
      <c r="C162" s="1645" t="s">
        <v>1078</v>
      </c>
      <c r="D162" s="1650">
        <v>3010</v>
      </c>
      <c r="E162" s="1650">
        <v>3010</v>
      </c>
      <c r="F162" s="1655" t="s">
        <v>568</v>
      </c>
      <c r="G162" s="1656">
        <v>48</v>
      </c>
      <c r="H162" s="1652" t="s">
        <v>1079</v>
      </c>
      <c r="I162" s="1652" t="s">
        <v>568</v>
      </c>
      <c r="J162" s="1645" t="s">
        <v>493</v>
      </c>
    </row>
    <row r="163" spans="2:10" s="1632" customFormat="1" ht="22.5" customHeight="1">
      <c r="B163" s="1645" t="s">
        <v>1080</v>
      </c>
      <c r="C163" s="1645" t="s">
        <v>1078</v>
      </c>
      <c r="D163" s="1650">
        <v>3013</v>
      </c>
      <c r="E163" s="1650">
        <v>3013</v>
      </c>
      <c r="F163" s="1655" t="s">
        <v>568</v>
      </c>
      <c r="G163" s="1656">
        <v>48</v>
      </c>
      <c r="H163" s="1652" t="s">
        <v>1079</v>
      </c>
      <c r="I163" s="1652" t="s">
        <v>568</v>
      </c>
      <c r="J163" s="1645" t="s">
        <v>493</v>
      </c>
    </row>
    <row r="164" spans="2:10" s="1632" customFormat="1" ht="21.75" customHeight="1">
      <c r="B164" s="1645" t="s">
        <v>1081</v>
      </c>
      <c r="C164" s="1645" t="s">
        <v>1082</v>
      </c>
      <c r="D164" s="1650">
        <v>5511</v>
      </c>
      <c r="E164" s="1650">
        <v>5511</v>
      </c>
      <c r="F164" s="1655" t="s">
        <v>568</v>
      </c>
      <c r="G164" s="1656">
        <v>501</v>
      </c>
      <c r="H164" s="1652" t="s">
        <v>1083</v>
      </c>
      <c r="I164" s="1652" t="s">
        <v>568</v>
      </c>
      <c r="J164" s="1645" t="s">
        <v>493</v>
      </c>
    </row>
    <row r="165" spans="2:10" s="1632" customFormat="1" ht="32.25" customHeight="1">
      <c r="B165" s="1645" t="s">
        <v>1084</v>
      </c>
      <c r="C165" s="1645" t="s">
        <v>1085</v>
      </c>
      <c r="D165" s="1650">
        <v>1636</v>
      </c>
      <c r="E165" s="1650">
        <v>1636</v>
      </c>
      <c r="F165" s="1655" t="s">
        <v>568</v>
      </c>
      <c r="G165" s="1656">
        <v>96</v>
      </c>
      <c r="H165" s="1652" t="s">
        <v>1086</v>
      </c>
      <c r="I165" s="1652" t="s">
        <v>568</v>
      </c>
      <c r="J165" s="1645" t="s">
        <v>493</v>
      </c>
    </row>
    <row r="166" spans="2:10" s="1632" customFormat="1" ht="32.25" customHeight="1">
      <c r="B166" s="1645" t="s">
        <v>1087</v>
      </c>
      <c r="C166" s="1645" t="s">
        <v>1088</v>
      </c>
      <c r="D166" s="1650">
        <v>1636</v>
      </c>
      <c r="E166" s="1650">
        <v>1636</v>
      </c>
      <c r="F166" s="1655" t="s">
        <v>568</v>
      </c>
      <c r="G166" s="1656">
        <v>96</v>
      </c>
      <c r="H166" s="1652" t="s">
        <v>1086</v>
      </c>
      <c r="I166" s="1652" t="s">
        <v>568</v>
      </c>
      <c r="J166" s="1645" t="s">
        <v>493</v>
      </c>
    </row>
    <row r="167" spans="2:10" s="1632" customFormat="1" ht="21.75" customHeight="1">
      <c r="B167" s="1645" t="s">
        <v>1089</v>
      </c>
      <c r="C167" s="1645" t="s">
        <v>1090</v>
      </c>
      <c r="D167" s="1650">
        <v>3676</v>
      </c>
      <c r="E167" s="1650">
        <v>3676</v>
      </c>
      <c r="F167" s="1655" t="s">
        <v>568</v>
      </c>
      <c r="G167" s="1656">
        <v>48</v>
      </c>
      <c r="H167" s="1652" t="s">
        <v>1091</v>
      </c>
      <c r="I167" s="1652" t="s">
        <v>568</v>
      </c>
      <c r="J167" s="1645" t="s">
        <v>493</v>
      </c>
    </row>
    <row r="168" spans="2:10" s="1632" customFormat="1" ht="23.25" customHeight="1">
      <c r="B168" s="1645" t="s">
        <v>1092</v>
      </c>
      <c r="C168" s="1645" t="s">
        <v>1093</v>
      </c>
      <c r="D168" s="1661">
        <v>650</v>
      </c>
      <c r="E168" s="1661">
        <v>583</v>
      </c>
      <c r="F168" s="1661">
        <v>67</v>
      </c>
      <c r="G168" s="1656">
        <v>650</v>
      </c>
      <c r="H168" s="1652" t="s">
        <v>1091</v>
      </c>
      <c r="I168" s="1654">
        <v>12</v>
      </c>
      <c r="J168" s="1645" t="s">
        <v>493</v>
      </c>
    </row>
    <row r="169" spans="2:10" s="1632" customFormat="1" ht="21.75" customHeight="1">
      <c r="B169" s="1645" t="s">
        <v>1094</v>
      </c>
      <c r="C169" s="1645" t="s">
        <v>1095</v>
      </c>
      <c r="D169" s="1650">
        <v>13277</v>
      </c>
      <c r="E169" s="1650">
        <v>13277</v>
      </c>
      <c r="F169" s="1655" t="s">
        <v>568</v>
      </c>
      <c r="G169" s="1656">
        <v>298</v>
      </c>
      <c r="H169" s="1652" t="s">
        <v>1096</v>
      </c>
      <c r="I169" s="1652" t="s">
        <v>568</v>
      </c>
      <c r="J169" s="1645" t="s">
        <v>493</v>
      </c>
    </row>
    <row r="170" spans="2:10" s="1632" customFormat="1" ht="21.75" customHeight="1">
      <c r="B170" s="1645" t="s">
        <v>1097</v>
      </c>
      <c r="C170" s="1645" t="s">
        <v>1098</v>
      </c>
      <c r="D170" s="1650">
        <v>1636</v>
      </c>
      <c r="E170" s="1650">
        <v>1636</v>
      </c>
      <c r="F170" s="1655" t="s">
        <v>568</v>
      </c>
      <c r="G170" s="1656">
        <v>48</v>
      </c>
      <c r="H170" s="1652" t="s">
        <v>1099</v>
      </c>
      <c r="I170" s="1652" t="s">
        <v>568</v>
      </c>
      <c r="J170" s="1645" t="s">
        <v>493</v>
      </c>
    </row>
    <row r="171" spans="2:10" s="1632" customFormat="1" ht="21.75" customHeight="1">
      <c r="B171" s="1645" t="s">
        <v>1100</v>
      </c>
      <c r="C171" s="1645" t="s">
        <v>1101</v>
      </c>
      <c r="D171" s="1650">
        <v>1374</v>
      </c>
      <c r="E171" s="1650">
        <v>1374</v>
      </c>
      <c r="F171" s="1655" t="s">
        <v>568</v>
      </c>
      <c r="G171" s="1656">
        <v>48</v>
      </c>
      <c r="H171" s="1652" t="s">
        <v>1102</v>
      </c>
      <c r="I171" s="1652" t="s">
        <v>568</v>
      </c>
      <c r="J171" s="1645" t="s">
        <v>493</v>
      </c>
    </row>
    <row r="172" spans="2:10" s="1632" customFormat="1" ht="21.75" customHeight="1">
      <c r="B172" s="1645" t="s">
        <v>1103</v>
      </c>
      <c r="C172" s="1645" t="s">
        <v>1104</v>
      </c>
      <c r="D172" s="1650">
        <v>2781</v>
      </c>
      <c r="E172" s="1650">
        <v>2781</v>
      </c>
      <c r="F172" s="1655" t="s">
        <v>568</v>
      </c>
      <c r="G172" s="1656">
        <v>72</v>
      </c>
      <c r="H172" s="1652" t="s">
        <v>1105</v>
      </c>
      <c r="I172" s="1652" t="s">
        <v>568</v>
      </c>
      <c r="J172" s="1645" t="s">
        <v>493</v>
      </c>
    </row>
    <row r="173" spans="2:10" s="1632" customFormat="1" ht="21.75" customHeight="1">
      <c r="B173" s="1645" t="s">
        <v>1106</v>
      </c>
      <c r="C173" s="1645" t="s">
        <v>1107</v>
      </c>
      <c r="D173" s="1650">
        <v>9311</v>
      </c>
      <c r="E173" s="1650">
        <v>9311</v>
      </c>
      <c r="F173" s="1655" t="s">
        <v>568</v>
      </c>
      <c r="G173" s="1656">
        <v>120</v>
      </c>
      <c r="H173" s="1652" t="s">
        <v>1108</v>
      </c>
      <c r="I173" s="1652" t="s">
        <v>568</v>
      </c>
      <c r="J173" s="1645" t="s">
        <v>493</v>
      </c>
    </row>
    <row r="174" spans="2:10" s="1632" customFormat="1" ht="21.75" customHeight="1">
      <c r="B174" s="1645" t="s">
        <v>1109</v>
      </c>
      <c r="C174" s="1645" t="s">
        <v>1110</v>
      </c>
      <c r="D174" s="1650">
        <v>3644</v>
      </c>
      <c r="E174" s="1650">
        <v>3644</v>
      </c>
      <c r="F174" s="1655" t="s">
        <v>568</v>
      </c>
      <c r="G174" s="1656">
        <v>120</v>
      </c>
      <c r="H174" s="1652" t="s">
        <v>1111</v>
      </c>
      <c r="I174" s="1652" t="s">
        <v>568</v>
      </c>
      <c r="J174" s="1645" t="s">
        <v>493</v>
      </c>
    </row>
    <row r="175" spans="2:10" s="1632" customFormat="1" ht="21.75" customHeight="1">
      <c r="B175" s="1645" t="s">
        <v>1112</v>
      </c>
      <c r="C175" s="1645" t="s">
        <v>1113</v>
      </c>
      <c r="D175" s="1650">
        <v>1200</v>
      </c>
      <c r="E175" s="1650">
        <v>1200</v>
      </c>
      <c r="F175" s="1655" t="s">
        <v>568</v>
      </c>
      <c r="G175" s="1656">
        <v>72</v>
      </c>
      <c r="H175" s="1652" t="s">
        <v>1114</v>
      </c>
      <c r="I175" s="1652" t="s">
        <v>568</v>
      </c>
      <c r="J175" s="1645" t="s">
        <v>493</v>
      </c>
    </row>
    <row r="176" spans="2:10" s="1632" customFormat="1" ht="21.75" customHeight="1">
      <c r="B176" s="1645" t="s">
        <v>1115</v>
      </c>
      <c r="C176" s="1645" t="s">
        <v>1116</v>
      </c>
      <c r="D176" s="1650">
        <v>1311</v>
      </c>
      <c r="E176" s="1650">
        <v>1311</v>
      </c>
      <c r="F176" s="1655" t="s">
        <v>568</v>
      </c>
      <c r="G176" s="1656">
        <v>48</v>
      </c>
      <c r="H176" s="1652" t="s">
        <v>1117</v>
      </c>
      <c r="I176" s="1652" t="s">
        <v>568</v>
      </c>
      <c r="J176" s="1645" t="s">
        <v>493</v>
      </c>
    </row>
    <row r="177" spans="2:10" s="1632" customFormat="1" ht="21.75" customHeight="1">
      <c r="B177" s="1645" t="s">
        <v>1118</v>
      </c>
      <c r="C177" s="1645" t="s">
        <v>1119</v>
      </c>
      <c r="D177" s="1650">
        <v>1311</v>
      </c>
      <c r="E177" s="1650">
        <v>1311</v>
      </c>
      <c r="F177" s="1655" t="s">
        <v>568</v>
      </c>
      <c r="G177" s="1656">
        <v>48</v>
      </c>
      <c r="H177" s="1652" t="s">
        <v>1117</v>
      </c>
      <c r="I177" s="1652" t="s">
        <v>568</v>
      </c>
      <c r="J177" s="1645" t="s">
        <v>493</v>
      </c>
    </row>
    <row r="178" spans="2:10" s="1632" customFormat="1" ht="21.75" customHeight="1">
      <c r="B178" s="1645" t="s">
        <v>1120</v>
      </c>
      <c r="C178" s="1645" t="s">
        <v>1121</v>
      </c>
      <c r="D178" s="1650">
        <v>22968</v>
      </c>
      <c r="E178" s="1650">
        <v>22968</v>
      </c>
      <c r="F178" s="1655" t="s">
        <v>568</v>
      </c>
      <c r="G178" s="1656">
        <v>283</v>
      </c>
      <c r="H178" s="1652" t="s">
        <v>1117</v>
      </c>
      <c r="I178" s="1652" t="s">
        <v>568</v>
      </c>
      <c r="J178" s="1645" t="s">
        <v>493</v>
      </c>
    </row>
    <row r="179" spans="2:10" s="1632" customFormat="1" ht="21.75" customHeight="1">
      <c r="B179" s="1645" t="s">
        <v>1122</v>
      </c>
      <c r="C179" s="1645" t="s">
        <v>1123</v>
      </c>
      <c r="D179" s="1650">
        <v>22971</v>
      </c>
      <c r="E179" s="1650">
        <v>22971</v>
      </c>
      <c r="F179" s="1655" t="s">
        <v>568</v>
      </c>
      <c r="G179" s="1656">
        <v>283</v>
      </c>
      <c r="H179" s="1652" t="s">
        <v>1117</v>
      </c>
      <c r="I179" s="1652" t="s">
        <v>568</v>
      </c>
      <c r="J179" s="1645" t="s">
        <v>493</v>
      </c>
    </row>
    <row r="180" spans="2:10" s="1632" customFormat="1" ht="21.75" customHeight="1">
      <c r="B180" s="1645" t="s">
        <v>1124</v>
      </c>
      <c r="C180" s="1645" t="s">
        <v>1125</v>
      </c>
      <c r="D180" s="1650">
        <v>3518</v>
      </c>
      <c r="E180" s="1650">
        <v>3518</v>
      </c>
      <c r="F180" s="1655" t="s">
        <v>568</v>
      </c>
      <c r="G180" s="1656">
        <v>48</v>
      </c>
      <c r="H180" s="1652" t="s">
        <v>1126</v>
      </c>
      <c r="I180" s="1652" t="s">
        <v>568</v>
      </c>
      <c r="J180" s="1645" t="s">
        <v>493</v>
      </c>
    </row>
    <row r="181" spans="2:10" s="1632" customFormat="1" ht="21.75" customHeight="1">
      <c r="B181" s="1645" t="s">
        <v>1127</v>
      </c>
      <c r="C181" s="1645" t="s">
        <v>1128</v>
      </c>
      <c r="D181" s="1650">
        <v>4339</v>
      </c>
      <c r="E181" s="1650">
        <v>3140</v>
      </c>
      <c r="F181" s="1650">
        <v>1199</v>
      </c>
      <c r="G181" s="1656">
        <v>620</v>
      </c>
      <c r="H181" s="1652" t="s">
        <v>1129</v>
      </c>
      <c r="I181" s="1654">
        <v>84</v>
      </c>
      <c r="J181" s="1645" t="s">
        <v>493</v>
      </c>
    </row>
    <row r="182" spans="2:10" s="1632" customFormat="1" ht="21.75" customHeight="1">
      <c r="B182" s="1645" t="s">
        <v>1130</v>
      </c>
      <c r="C182" s="1645" t="s">
        <v>1128</v>
      </c>
      <c r="D182" s="1650">
        <v>4344</v>
      </c>
      <c r="E182" s="1650">
        <v>3142</v>
      </c>
      <c r="F182" s="1650">
        <v>1202</v>
      </c>
      <c r="G182" s="1656">
        <v>621</v>
      </c>
      <c r="H182" s="1652" t="s">
        <v>1129</v>
      </c>
      <c r="I182" s="1654">
        <v>84</v>
      </c>
      <c r="J182" s="1645" t="s">
        <v>493</v>
      </c>
    </row>
    <row r="183" spans="2:10" s="1632" customFormat="1" ht="21.75" customHeight="1">
      <c r="B183" s="1645" t="s">
        <v>1131</v>
      </c>
      <c r="C183" s="1645" t="s">
        <v>1132</v>
      </c>
      <c r="D183" s="1650">
        <v>2654</v>
      </c>
      <c r="E183" s="1650">
        <v>2654</v>
      </c>
      <c r="F183" s="1655" t="s">
        <v>568</v>
      </c>
      <c r="G183" s="1656">
        <v>72</v>
      </c>
      <c r="H183" s="1652" t="s">
        <v>1133</v>
      </c>
      <c r="I183" s="1652" t="s">
        <v>568</v>
      </c>
      <c r="J183" s="1645" t="s">
        <v>493</v>
      </c>
    </row>
    <row r="184" spans="2:10" s="1632" customFormat="1" ht="21.75" customHeight="1">
      <c r="B184" s="1645" t="s">
        <v>1134</v>
      </c>
      <c r="C184" s="1645" t="s">
        <v>1135</v>
      </c>
      <c r="D184" s="1650">
        <v>1207</v>
      </c>
      <c r="E184" s="1650">
        <v>1207</v>
      </c>
      <c r="F184" s="1655" t="s">
        <v>568</v>
      </c>
      <c r="G184" s="1656">
        <v>72</v>
      </c>
      <c r="H184" s="1652" t="s">
        <v>1136</v>
      </c>
      <c r="I184" s="1652" t="s">
        <v>568</v>
      </c>
      <c r="J184" s="1645" t="s">
        <v>493</v>
      </c>
    </row>
    <row r="185" spans="2:10" s="1632" customFormat="1" ht="21.75" customHeight="1">
      <c r="B185" s="1645" t="s">
        <v>1137</v>
      </c>
      <c r="C185" s="1645" t="s">
        <v>1135</v>
      </c>
      <c r="D185" s="1650">
        <v>1207</v>
      </c>
      <c r="E185" s="1650">
        <v>1207</v>
      </c>
      <c r="F185" s="1655" t="s">
        <v>568</v>
      </c>
      <c r="G185" s="1656">
        <v>72</v>
      </c>
      <c r="H185" s="1652" t="s">
        <v>1136</v>
      </c>
      <c r="I185" s="1652" t="s">
        <v>568</v>
      </c>
      <c r="J185" s="1645" t="s">
        <v>493</v>
      </c>
    </row>
    <row r="186" spans="2:10" s="1632" customFormat="1" ht="21.75" customHeight="1">
      <c r="B186" s="1645" t="s">
        <v>1138</v>
      </c>
      <c r="C186" s="1645" t="s">
        <v>1139</v>
      </c>
      <c r="D186" s="1650">
        <v>6614</v>
      </c>
      <c r="E186" s="1650">
        <v>6614</v>
      </c>
      <c r="F186" s="1655" t="s">
        <v>568</v>
      </c>
      <c r="G186" s="1656">
        <v>72</v>
      </c>
      <c r="H186" s="1652" t="s">
        <v>1136</v>
      </c>
      <c r="I186" s="1652" t="s">
        <v>568</v>
      </c>
      <c r="J186" s="1645" t="s">
        <v>493</v>
      </c>
    </row>
    <row r="187" spans="2:10" s="1632" customFormat="1" ht="21.75" customHeight="1">
      <c r="B187" s="1645" t="s">
        <v>1140</v>
      </c>
      <c r="C187" s="1658" t="s">
        <v>1141</v>
      </c>
      <c r="D187" s="1650">
        <v>8583</v>
      </c>
      <c r="E187" s="1650">
        <v>5894</v>
      </c>
      <c r="F187" s="1650">
        <v>2689</v>
      </c>
      <c r="G187" s="1659">
        <v>660</v>
      </c>
      <c r="H187" s="1652" t="s">
        <v>1136</v>
      </c>
      <c r="I187" s="1662">
        <v>156</v>
      </c>
      <c r="J187" s="1645" t="s">
        <v>493</v>
      </c>
    </row>
    <row r="188" spans="2:10" s="1632" customFormat="1" ht="21.75" customHeight="1">
      <c r="B188" s="1645" t="s">
        <v>1142</v>
      </c>
      <c r="C188" s="1658" t="s">
        <v>1616</v>
      </c>
      <c r="D188" s="1650">
        <v>8583</v>
      </c>
      <c r="E188" s="1650">
        <v>5894</v>
      </c>
      <c r="F188" s="1650">
        <v>2689</v>
      </c>
      <c r="G188" s="1659">
        <v>660</v>
      </c>
      <c r="H188" s="1652" t="s">
        <v>1136</v>
      </c>
      <c r="I188" s="1662">
        <v>156</v>
      </c>
      <c r="J188" s="1645" t="s">
        <v>493</v>
      </c>
    </row>
    <row r="189" spans="2:10" s="1632" customFormat="1" ht="21.75" customHeight="1">
      <c r="B189" s="1645" t="s">
        <v>1617</v>
      </c>
      <c r="C189" s="1658" t="s">
        <v>1618</v>
      </c>
      <c r="D189" s="1650">
        <v>8578</v>
      </c>
      <c r="E189" s="1650">
        <v>5893</v>
      </c>
      <c r="F189" s="1650">
        <v>2685</v>
      </c>
      <c r="G189" s="1659">
        <v>660</v>
      </c>
      <c r="H189" s="1652" t="s">
        <v>1136</v>
      </c>
      <c r="I189" s="1662">
        <v>156</v>
      </c>
      <c r="J189" s="1645" t="s">
        <v>493</v>
      </c>
    </row>
    <row r="190" spans="2:10" s="1632" customFormat="1" ht="21.75" customHeight="1">
      <c r="B190" s="1645" t="s">
        <v>1619</v>
      </c>
      <c r="C190" s="1658" t="s">
        <v>1620</v>
      </c>
      <c r="D190" s="1650">
        <v>8583</v>
      </c>
      <c r="E190" s="1650">
        <v>5894</v>
      </c>
      <c r="F190" s="1650">
        <v>2689</v>
      </c>
      <c r="G190" s="1659">
        <v>660</v>
      </c>
      <c r="H190" s="1652" t="s">
        <v>1136</v>
      </c>
      <c r="I190" s="1662">
        <v>156</v>
      </c>
      <c r="J190" s="1645" t="s">
        <v>493</v>
      </c>
    </row>
    <row r="191" spans="2:10" s="1632" customFormat="1" ht="21.75" customHeight="1">
      <c r="B191" s="1645" t="s">
        <v>1621</v>
      </c>
      <c r="C191" s="1645" t="s">
        <v>1622</v>
      </c>
      <c r="D191" s="1650">
        <v>31760000</v>
      </c>
      <c r="E191" s="1650">
        <v>30173126.49</v>
      </c>
      <c r="F191" s="1650">
        <v>1586873.51</v>
      </c>
      <c r="G191" s="1656">
        <v>480</v>
      </c>
      <c r="H191" s="1652" t="s">
        <v>1136</v>
      </c>
      <c r="I191" s="1653">
        <v>803250.31</v>
      </c>
      <c r="J191" s="1645" t="s">
        <v>493</v>
      </c>
    </row>
    <row r="192" spans="2:10" s="1632" customFormat="1" ht="21.75" customHeight="1">
      <c r="B192" s="1645" t="s">
        <v>1623</v>
      </c>
      <c r="C192" s="1645" t="s">
        <v>1624</v>
      </c>
      <c r="D192" s="1650">
        <v>1800</v>
      </c>
      <c r="E192" s="1650">
        <v>1800</v>
      </c>
      <c r="F192" s="1655" t="s">
        <v>568</v>
      </c>
      <c r="G192" s="1656">
        <v>72</v>
      </c>
      <c r="H192" s="1652" t="s">
        <v>1625</v>
      </c>
      <c r="I192" s="1652" t="s">
        <v>568</v>
      </c>
      <c r="J192" s="1645" t="s">
        <v>493</v>
      </c>
    </row>
    <row r="193" spans="2:10" s="1632" customFormat="1" ht="21.75" customHeight="1">
      <c r="B193" s="1645" t="s">
        <v>1626</v>
      </c>
      <c r="C193" s="1645" t="s">
        <v>1627</v>
      </c>
      <c r="D193" s="1650">
        <v>1803</v>
      </c>
      <c r="E193" s="1650">
        <v>1803</v>
      </c>
      <c r="F193" s="1655" t="s">
        <v>568</v>
      </c>
      <c r="G193" s="1656">
        <v>72</v>
      </c>
      <c r="H193" s="1652" t="s">
        <v>1625</v>
      </c>
      <c r="I193" s="1652" t="s">
        <v>568</v>
      </c>
      <c r="J193" s="1645" t="s">
        <v>493</v>
      </c>
    </row>
    <row r="194" spans="2:10" s="1632" customFormat="1" ht="21.75" customHeight="1">
      <c r="B194" s="1645" t="s">
        <v>1628</v>
      </c>
      <c r="C194" s="1645" t="s">
        <v>1629</v>
      </c>
      <c r="D194" s="1650">
        <v>153896</v>
      </c>
      <c r="E194" s="1650">
        <v>153896</v>
      </c>
      <c r="F194" s="1655" t="s">
        <v>568</v>
      </c>
      <c r="G194" s="1656">
        <v>400</v>
      </c>
      <c r="H194" s="1652" t="s">
        <v>1625</v>
      </c>
      <c r="I194" s="1652" t="s">
        <v>568</v>
      </c>
      <c r="J194" s="1645" t="s">
        <v>493</v>
      </c>
    </row>
    <row r="195" spans="2:10" s="1632" customFormat="1" ht="21.75" customHeight="1">
      <c r="B195" s="1645" t="s">
        <v>1630</v>
      </c>
      <c r="C195" s="1645" t="s">
        <v>1631</v>
      </c>
      <c r="D195" s="1650">
        <v>11473</v>
      </c>
      <c r="E195" s="1650">
        <v>11473</v>
      </c>
      <c r="F195" s="1655" t="s">
        <v>568</v>
      </c>
      <c r="G195" s="1656">
        <v>262</v>
      </c>
      <c r="H195" s="1652" t="s">
        <v>1625</v>
      </c>
      <c r="I195" s="1652" t="s">
        <v>568</v>
      </c>
      <c r="J195" s="1645" t="s">
        <v>493</v>
      </c>
    </row>
    <row r="196" spans="2:10" s="1632" customFormat="1" ht="21.75" customHeight="1">
      <c r="B196" s="1645" t="s">
        <v>1632</v>
      </c>
      <c r="C196" s="1645" t="s">
        <v>1633</v>
      </c>
      <c r="D196" s="1650">
        <v>11473</v>
      </c>
      <c r="E196" s="1650">
        <v>11473</v>
      </c>
      <c r="F196" s="1655" t="s">
        <v>568</v>
      </c>
      <c r="G196" s="1656">
        <v>262</v>
      </c>
      <c r="H196" s="1652" t="s">
        <v>1625</v>
      </c>
      <c r="I196" s="1652" t="s">
        <v>568</v>
      </c>
      <c r="J196" s="1645" t="s">
        <v>493</v>
      </c>
    </row>
    <row r="197" spans="2:10" s="1632" customFormat="1" ht="21.75" customHeight="1">
      <c r="B197" s="1645" t="s">
        <v>1634</v>
      </c>
      <c r="C197" s="1645" t="s">
        <v>1635</v>
      </c>
      <c r="D197" s="1650">
        <v>200000</v>
      </c>
      <c r="E197" s="1650">
        <v>200000</v>
      </c>
      <c r="F197" s="1655" t="s">
        <v>568</v>
      </c>
      <c r="G197" s="1656">
        <v>262</v>
      </c>
      <c r="H197" s="1652" t="s">
        <v>1625</v>
      </c>
      <c r="I197" s="1652" t="s">
        <v>568</v>
      </c>
      <c r="J197" s="1645" t="s">
        <v>493</v>
      </c>
    </row>
    <row r="198" spans="2:10" s="1632" customFormat="1" ht="24" customHeight="1">
      <c r="B198" s="1645" t="s">
        <v>1636</v>
      </c>
      <c r="C198" s="1645" t="s">
        <v>1637</v>
      </c>
      <c r="D198" s="1650">
        <v>2721</v>
      </c>
      <c r="E198" s="1650">
        <v>2721</v>
      </c>
      <c r="F198" s="1655" t="s">
        <v>568</v>
      </c>
      <c r="G198" s="1656">
        <v>48</v>
      </c>
      <c r="H198" s="1652" t="s">
        <v>1625</v>
      </c>
      <c r="I198" s="1652" t="s">
        <v>568</v>
      </c>
      <c r="J198" s="1645" t="s">
        <v>493</v>
      </c>
    </row>
    <row r="199" spans="2:10" s="1632" customFormat="1" ht="21.75" customHeight="1">
      <c r="B199" s="1645" t="s">
        <v>1638</v>
      </c>
      <c r="C199" s="1645" t="s">
        <v>1639</v>
      </c>
      <c r="D199" s="1661">
        <v>820</v>
      </c>
      <c r="E199" s="1661">
        <v>543</v>
      </c>
      <c r="F199" s="1661">
        <v>277</v>
      </c>
      <c r="G199" s="1656">
        <v>820</v>
      </c>
      <c r="H199" s="1652" t="s">
        <v>1640</v>
      </c>
      <c r="I199" s="1654">
        <v>12</v>
      </c>
      <c r="J199" s="1645" t="s">
        <v>493</v>
      </c>
    </row>
    <row r="200" spans="2:10" s="1632" customFormat="1" ht="21.75" customHeight="1">
      <c r="B200" s="1645" t="s">
        <v>1641</v>
      </c>
      <c r="C200" s="1645" t="s">
        <v>1642</v>
      </c>
      <c r="D200" s="1650">
        <v>18551</v>
      </c>
      <c r="E200" s="1650">
        <v>18551</v>
      </c>
      <c r="F200" s="1655" t="s">
        <v>568</v>
      </c>
      <c r="G200" s="1656">
        <v>258</v>
      </c>
      <c r="H200" s="1652" t="s">
        <v>1640</v>
      </c>
      <c r="I200" s="1652" t="s">
        <v>568</v>
      </c>
      <c r="J200" s="1645" t="s">
        <v>493</v>
      </c>
    </row>
    <row r="201" spans="2:10" s="1632" customFormat="1" ht="21.75" customHeight="1">
      <c r="B201" s="1645" t="s">
        <v>1643</v>
      </c>
      <c r="C201" s="1645" t="s">
        <v>1644</v>
      </c>
      <c r="D201" s="1650">
        <v>18551</v>
      </c>
      <c r="E201" s="1650">
        <v>18551</v>
      </c>
      <c r="F201" s="1655" t="s">
        <v>568</v>
      </c>
      <c r="G201" s="1656">
        <v>258</v>
      </c>
      <c r="H201" s="1652" t="s">
        <v>1640</v>
      </c>
      <c r="I201" s="1652" t="s">
        <v>568</v>
      </c>
      <c r="J201" s="1645" t="s">
        <v>493</v>
      </c>
    </row>
    <row r="202" spans="2:10" s="1632" customFormat="1" ht="30.75" customHeight="1">
      <c r="B202" s="1645" t="s">
        <v>1645</v>
      </c>
      <c r="C202" s="1645" t="s">
        <v>1646</v>
      </c>
      <c r="D202" s="1650">
        <v>2544</v>
      </c>
      <c r="E202" s="1650">
        <v>2544</v>
      </c>
      <c r="F202" s="1655" t="s">
        <v>568</v>
      </c>
      <c r="G202" s="1656">
        <v>48</v>
      </c>
      <c r="H202" s="1652" t="s">
        <v>1640</v>
      </c>
      <c r="I202" s="1652" t="s">
        <v>568</v>
      </c>
      <c r="J202" s="1645" t="s">
        <v>493</v>
      </c>
    </row>
    <row r="203" spans="2:10" s="1632" customFormat="1" ht="21.75" customHeight="1">
      <c r="B203" s="1645" t="s">
        <v>1647</v>
      </c>
      <c r="C203" s="1645" t="s">
        <v>1648</v>
      </c>
      <c r="D203" s="1650">
        <v>1342</v>
      </c>
      <c r="E203" s="1650">
        <v>1342</v>
      </c>
      <c r="F203" s="1655" t="s">
        <v>568</v>
      </c>
      <c r="G203" s="1656">
        <v>72</v>
      </c>
      <c r="H203" s="1652" t="s">
        <v>1640</v>
      </c>
      <c r="I203" s="1652" t="s">
        <v>568</v>
      </c>
      <c r="J203" s="1645" t="s">
        <v>493</v>
      </c>
    </row>
    <row r="204" spans="2:10" s="1632" customFormat="1" ht="21.75" customHeight="1">
      <c r="B204" s="1645" t="s">
        <v>1649</v>
      </c>
      <c r="C204" s="1645" t="s">
        <v>1650</v>
      </c>
      <c r="D204" s="1650">
        <v>1339</v>
      </c>
      <c r="E204" s="1650">
        <v>1339</v>
      </c>
      <c r="F204" s="1655" t="s">
        <v>568</v>
      </c>
      <c r="G204" s="1656">
        <v>72</v>
      </c>
      <c r="H204" s="1652" t="s">
        <v>1640</v>
      </c>
      <c r="I204" s="1652" t="s">
        <v>568</v>
      </c>
      <c r="J204" s="1645" t="s">
        <v>493</v>
      </c>
    </row>
    <row r="205" spans="2:10" s="1632" customFormat="1" ht="19.5" customHeight="1">
      <c r="B205" s="1645" t="s">
        <v>1651</v>
      </c>
      <c r="C205" s="1645" t="s">
        <v>1652</v>
      </c>
      <c r="D205" s="1650">
        <v>4776</v>
      </c>
      <c r="E205" s="1650">
        <v>4776</v>
      </c>
      <c r="F205" s="1655" t="s">
        <v>568</v>
      </c>
      <c r="G205" s="1656">
        <v>96</v>
      </c>
      <c r="H205" s="1652" t="s">
        <v>1653</v>
      </c>
      <c r="I205" s="1652" t="s">
        <v>568</v>
      </c>
      <c r="J205" s="1645" t="s">
        <v>493</v>
      </c>
    </row>
    <row r="206" spans="2:10" s="1632" customFormat="1" ht="24" customHeight="1">
      <c r="B206" s="1645" t="s">
        <v>1654</v>
      </c>
      <c r="C206" s="1645" t="s">
        <v>1655</v>
      </c>
      <c r="D206" s="1650">
        <v>4774</v>
      </c>
      <c r="E206" s="1650">
        <v>4774</v>
      </c>
      <c r="F206" s="1655" t="s">
        <v>568</v>
      </c>
      <c r="G206" s="1656">
        <v>96</v>
      </c>
      <c r="H206" s="1652" t="s">
        <v>1653</v>
      </c>
      <c r="I206" s="1652" t="s">
        <v>568</v>
      </c>
      <c r="J206" s="1645" t="s">
        <v>493</v>
      </c>
    </row>
    <row r="207" spans="2:10" s="1632" customFormat="1" ht="21.75" customHeight="1">
      <c r="B207" s="1645" t="s">
        <v>1656</v>
      </c>
      <c r="C207" s="1645" t="s">
        <v>1657</v>
      </c>
      <c r="D207" s="1650">
        <v>19258</v>
      </c>
      <c r="E207" s="1650">
        <v>19258</v>
      </c>
      <c r="F207" s="1655" t="s">
        <v>568</v>
      </c>
      <c r="G207" s="1656">
        <v>256</v>
      </c>
      <c r="H207" s="1652" t="s">
        <v>1653</v>
      </c>
      <c r="I207" s="1652" t="s">
        <v>568</v>
      </c>
      <c r="J207" s="1645" t="s">
        <v>493</v>
      </c>
    </row>
    <row r="208" spans="2:10" s="1632" customFormat="1" ht="21.75" customHeight="1">
      <c r="B208" s="1645" t="s">
        <v>1658</v>
      </c>
      <c r="C208" s="1645" t="s">
        <v>1659</v>
      </c>
      <c r="D208" s="1650">
        <v>18991</v>
      </c>
      <c r="E208" s="1650">
        <v>18991</v>
      </c>
      <c r="F208" s="1655" t="s">
        <v>568</v>
      </c>
      <c r="G208" s="1656">
        <v>256</v>
      </c>
      <c r="H208" s="1652" t="s">
        <v>1653</v>
      </c>
      <c r="I208" s="1652" t="s">
        <v>568</v>
      </c>
      <c r="J208" s="1645" t="s">
        <v>493</v>
      </c>
    </row>
    <row r="209" spans="2:10" s="1632" customFormat="1" ht="21.75" customHeight="1">
      <c r="B209" s="1645" t="s">
        <v>1660</v>
      </c>
      <c r="C209" s="1645" t="s">
        <v>1661</v>
      </c>
      <c r="D209" s="1650">
        <v>1289</v>
      </c>
      <c r="E209" s="1650">
        <v>1289</v>
      </c>
      <c r="F209" s="1655" t="s">
        <v>568</v>
      </c>
      <c r="G209" s="1656">
        <v>72</v>
      </c>
      <c r="H209" s="1652" t="s">
        <v>1662</v>
      </c>
      <c r="I209" s="1652" t="s">
        <v>568</v>
      </c>
      <c r="J209" s="1645" t="s">
        <v>493</v>
      </c>
    </row>
    <row r="210" spans="2:10" s="1632" customFormat="1" ht="21.75" customHeight="1">
      <c r="B210" s="1645" t="s">
        <v>1663</v>
      </c>
      <c r="C210" s="1645" t="s">
        <v>1661</v>
      </c>
      <c r="D210" s="1650">
        <v>1284</v>
      </c>
      <c r="E210" s="1650">
        <v>1284</v>
      </c>
      <c r="F210" s="1655" t="s">
        <v>568</v>
      </c>
      <c r="G210" s="1656">
        <v>72</v>
      </c>
      <c r="H210" s="1652" t="s">
        <v>1662</v>
      </c>
      <c r="I210" s="1652" t="s">
        <v>568</v>
      </c>
      <c r="J210" s="1645" t="s">
        <v>493</v>
      </c>
    </row>
    <row r="211" spans="2:10" s="1632" customFormat="1" ht="21.75" customHeight="1">
      <c r="B211" s="1645" t="s">
        <v>1664</v>
      </c>
      <c r="C211" s="1645" t="s">
        <v>1665</v>
      </c>
      <c r="D211" s="1650">
        <v>47194</v>
      </c>
      <c r="E211" s="1650">
        <v>47194</v>
      </c>
      <c r="F211" s="1655" t="s">
        <v>568</v>
      </c>
      <c r="G211" s="1656">
        <v>246</v>
      </c>
      <c r="H211" s="1652" t="s">
        <v>1666</v>
      </c>
      <c r="I211" s="1652" t="s">
        <v>568</v>
      </c>
      <c r="J211" s="1645" t="s">
        <v>493</v>
      </c>
    </row>
    <row r="212" spans="2:10" s="1632" customFormat="1" ht="21.75" customHeight="1">
      <c r="B212" s="1645" t="s">
        <v>1667</v>
      </c>
      <c r="C212" s="1645" t="s">
        <v>1668</v>
      </c>
      <c r="D212" s="1650">
        <v>9320</v>
      </c>
      <c r="E212" s="1650">
        <v>7297.8</v>
      </c>
      <c r="F212" s="1650">
        <v>2022.2</v>
      </c>
      <c r="G212" s="1656">
        <v>548</v>
      </c>
      <c r="H212" s="1652" t="s">
        <v>1669</v>
      </c>
      <c r="I212" s="1654">
        <v>204.12</v>
      </c>
      <c r="J212" s="1645" t="s">
        <v>493</v>
      </c>
    </row>
    <row r="213" spans="2:10" s="1632" customFormat="1" ht="21.75" customHeight="1">
      <c r="B213" s="1645" t="s">
        <v>1670</v>
      </c>
      <c r="C213" s="1645" t="s">
        <v>1671</v>
      </c>
      <c r="D213" s="1650">
        <v>1618</v>
      </c>
      <c r="E213" s="1650">
        <v>1618</v>
      </c>
      <c r="F213" s="1655" t="s">
        <v>568</v>
      </c>
      <c r="G213" s="1656">
        <v>72</v>
      </c>
      <c r="H213" s="1652" t="s">
        <v>1672</v>
      </c>
      <c r="I213" s="1652" t="s">
        <v>568</v>
      </c>
      <c r="J213" s="1645" t="s">
        <v>493</v>
      </c>
    </row>
    <row r="214" spans="2:10" s="1632" customFormat="1" ht="21.75" customHeight="1">
      <c r="B214" s="1645" t="s">
        <v>1673</v>
      </c>
      <c r="C214" s="1645" t="s">
        <v>1674</v>
      </c>
      <c r="D214" s="1650">
        <v>13389</v>
      </c>
      <c r="E214" s="1650">
        <v>13389</v>
      </c>
      <c r="F214" s="1655" t="s">
        <v>568</v>
      </c>
      <c r="G214" s="1656">
        <v>352</v>
      </c>
      <c r="H214" s="1652" t="s">
        <v>1672</v>
      </c>
      <c r="I214" s="1652" t="s">
        <v>568</v>
      </c>
      <c r="J214" s="1645" t="s">
        <v>493</v>
      </c>
    </row>
    <row r="215" spans="2:10" s="1632" customFormat="1" ht="21.75" customHeight="1">
      <c r="B215" s="1645" t="s">
        <v>1675</v>
      </c>
      <c r="C215" s="1645" t="s">
        <v>1676</v>
      </c>
      <c r="D215" s="1650">
        <v>11212</v>
      </c>
      <c r="E215" s="1650">
        <v>9697.6</v>
      </c>
      <c r="F215" s="1650">
        <v>1514.4</v>
      </c>
      <c r="G215" s="1656">
        <v>487</v>
      </c>
      <c r="H215" s="1652" t="s">
        <v>1677</v>
      </c>
      <c r="I215" s="1654">
        <v>276.24</v>
      </c>
      <c r="J215" s="1645" t="s">
        <v>493</v>
      </c>
    </row>
    <row r="216" spans="2:10" s="1632" customFormat="1" ht="21.75" customHeight="1">
      <c r="B216" s="1645" t="s">
        <v>1678</v>
      </c>
      <c r="C216" s="1645" t="s">
        <v>1679</v>
      </c>
      <c r="D216" s="1650">
        <v>5347</v>
      </c>
      <c r="E216" s="1650">
        <v>5347</v>
      </c>
      <c r="F216" s="1655" t="s">
        <v>568</v>
      </c>
      <c r="G216" s="1656">
        <v>96</v>
      </c>
      <c r="H216" s="1652" t="s">
        <v>1680</v>
      </c>
      <c r="I216" s="1652" t="s">
        <v>568</v>
      </c>
      <c r="J216" s="1645" t="s">
        <v>493</v>
      </c>
    </row>
    <row r="217" spans="2:10" s="1632" customFormat="1" ht="21.75" customHeight="1">
      <c r="B217" s="1645" t="s">
        <v>1681</v>
      </c>
      <c r="C217" s="1645" t="s">
        <v>1682</v>
      </c>
      <c r="D217" s="1650">
        <v>250000</v>
      </c>
      <c r="E217" s="1650">
        <v>216684.4</v>
      </c>
      <c r="F217" s="1650">
        <v>33315.6</v>
      </c>
      <c r="G217" s="1656">
        <v>480</v>
      </c>
      <c r="H217" s="1652" t="s">
        <v>1680</v>
      </c>
      <c r="I217" s="1653">
        <v>6249.96</v>
      </c>
      <c r="J217" s="1645" t="s">
        <v>493</v>
      </c>
    </row>
    <row r="218" spans="2:10" s="1632" customFormat="1" ht="32.25" customHeight="1">
      <c r="B218" s="1645" t="s">
        <v>1683</v>
      </c>
      <c r="C218" s="1645" t="s">
        <v>1684</v>
      </c>
      <c r="D218" s="1650">
        <v>3402</v>
      </c>
      <c r="E218" s="1650">
        <v>3402</v>
      </c>
      <c r="F218" s="1655" t="s">
        <v>568</v>
      </c>
      <c r="G218" s="1656">
        <v>72</v>
      </c>
      <c r="H218" s="1652" t="s">
        <v>1666</v>
      </c>
      <c r="I218" s="1652" t="s">
        <v>568</v>
      </c>
      <c r="J218" s="1645" t="s">
        <v>493</v>
      </c>
    </row>
    <row r="219" spans="2:10" s="1632" customFormat="1" ht="21.75" customHeight="1">
      <c r="B219" s="1645" t="s">
        <v>1685</v>
      </c>
      <c r="C219" s="1645" t="s">
        <v>1686</v>
      </c>
      <c r="D219" s="1650">
        <v>3511</v>
      </c>
      <c r="E219" s="1650">
        <v>3511</v>
      </c>
      <c r="F219" s="1655" t="s">
        <v>568</v>
      </c>
      <c r="G219" s="1656">
        <v>72</v>
      </c>
      <c r="H219" s="1652" t="s">
        <v>1687</v>
      </c>
      <c r="I219" s="1652" t="s">
        <v>568</v>
      </c>
      <c r="J219" s="1645" t="s">
        <v>493</v>
      </c>
    </row>
    <row r="220" spans="2:10" s="1632" customFormat="1" ht="21.75" customHeight="1">
      <c r="B220" s="1645" t="s">
        <v>1688</v>
      </c>
      <c r="C220" s="1645" t="s">
        <v>1689</v>
      </c>
      <c r="D220" s="1650">
        <v>3511</v>
      </c>
      <c r="E220" s="1650">
        <v>3511</v>
      </c>
      <c r="F220" s="1655" t="s">
        <v>568</v>
      </c>
      <c r="G220" s="1656">
        <v>72</v>
      </c>
      <c r="H220" s="1652" t="s">
        <v>1687</v>
      </c>
      <c r="I220" s="1652" t="s">
        <v>568</v>
      </c>
      <c r="J220" s="1645" t="s">
        <v>493</v>
      </c>
    </row>
    <row r="221" spans="2:10" s="1632" customFormat="1" ht="21.75" customHeight="1">
      <c r="B221" s="1645" t="s">
        <v>1690</v>
      </c>
      <c r="C221" s="1645" t="s">
        <v>1691</v>
      </c>
      <c r="D221" s="1650">
        <v>28278</v>
      </c>
      <c r="E221" s="1650">
        <v>28278</v>
      </c>
      <c r="F221" s="1655" t="s">
        <v>568</v>
      </c>
      <c r="G221" s="1656">
        <v>244</v>
      </c>
      <c r="H221" s="1652" t="s">
        <v>1687</v>
      </c>
      <c r="I221" s="1652" t="s">
        <v>568</v>
      </c>
      <c r="J221" s="1645" t="s">
        <v>493</v>
      </c>
    </row>
    <row r="222" spans="2:10" s="1632" customFormat="1" ht="21.75" customHeight="1">
      <c r="B222" s="1645" t="s">
        <v>1692</v>
      </c>
      <c r="C222" s="1645" t="s">
        <v>1693</v>
      </c>
      <c r="D222" s="1650">
        <v>28278</v>
      </c>
      <c r="E222" s="1650">
        <v>28278</v>
      </c>
      <c r="F222" s="1655" t="s">
        <v>568</v>
      </c>
      <c r="G222" s="1656">
        <v>244</v>
      </c>
      <c r="H222" s="1652" t="s">
        <v>1687</v>
      </c>
      <c r="I222" s="1652" t="s">
        <v>568</v>
      </c>
      <c r="J222" s="1645" t="s">
        <v>493</v>
      </c>
    </row>
    <row r="223" spans="2:10" s="1632" customFormat="1" ht="21.75" customHeight="1">
      <c r="B223" s="1645" t="s">
        <v>1694</v>
      </c>
      <c r="C223" s="1645" t="s">
        <v>1695</v>
      </c>
      <c r="D223" s="1650">
        <v>28274</v>
      </c>
      <c r="E223" s="1650">
        <v>28274</v>
      </c>
      <c r="F223" s="1655" t="s">
        <v>568</v>
      </c>
      <c r="G223" s="1656">
        <v>244</v>
      </c>
      <c r="H223" s="1652" t="s">
        <v>1687</v>
      </c>
      <c r="I223" s="1652" t="s">
        <v>568</v>
      </c>
      <c r="J223" s="1645" t="s">
        <v>493</v>
      </c>
    </row>
    <row r="224" spans="2:10" s="1632" customFormat="1" ht="21.75" customHeight="1">
      <c r="B224" s="1645" t="s">
        <v>1696</v>
      </c>
      <c r="C224" s="1645" t="s">
        <v>1697</v>
      </c>
      <c r="D224" s="1650">
        <v>2839</v>
      </c>
      <c r="E224" s="1650">
        <v>2839</v>
      </c>
      <c r="F224" s="1655" t="s">
        <v>568</v>
      </c>
      <c r="G224" s="1656">
        <v>72</v>
      </c>
      <c r="H224" s="1652" t="s">
        <v>1687</v>
      </c>
      <c r="I224" s="1652" t="s">
        <v>568</v>
      </c>
      <c r="J224" s="1645" t="s">
        <v>493</v>
      </c>
    </row>
    <row r="225" spans="2:10" s="1632" customFormat="1" ht="21.75" customHeight="1">
      <c r="B225" s="1645" t="s">
        <v>1698</v>
      </c>
      <c r="C225" s="1645" t="s">
        <v>1699</v>
      </c>
      <c r="D225" s="1650">
        <v>2839</v>
      </c>
      <c r="E225" s="1650">
        <v>2839</v>
      </c>
      <c r="F225" s="1655" t="s">
        <v>568</v>
      </c>
      <c r="G225" s="1656">
        <v>72</v>
      </c>
      <c r="H225" s="1652" t="s">
        <v>1687</v>
      </c>
      <c r="I225" s="1652" t="s">
        <v>568</v>
      </c>
      <c r="J225" s="1645" t="s">
        <v>493</v>
      </c>
    </row>
    <row r="226" spans="2:10" s="1632" customFormat="1" ht="21.75" customHeight="1">
      <c r="B226" s="1645" t="s">
        <v>1700</v>
      </c>
      <c r="C226" s="1658" t="s">
        <v>1701</v>
      </c>
      <c r="D226" s="1650">
        <v>3514</v>
      </c>
      <c r="E226" s="1650">
        <v>2025</v>
      </c>
      <c r="F226" s="1650">
        <v>1489</v>
      </c>
      <c r="G226" s="1656">
        <v>703</v>
      </c>
      <c r="H226" s="1652" t="s">
        <v>1702</v>
      </c>
      <c r="I226" s="1662">
        <v>60</v>
      </c>
      <c r="J226" s="1645" t="s">
        <v>493</v>
      </c>
    </row>
    <row r="227" spans="2:10" s="1632" customFormat="1" ht="21.75" customHeight="1">
      <c r="B227" s="1645" t="s">
        <v>1703</v>
      </c>
      <c r="C227" s="1658" t="s">
        <v>1704</v>
      </c>
      <c r="D227" s="1650">
        <v>3514</v>
      </c>
      <c r="E227" s="1650">
        <v>2025</v>
      </c>
      <c r="F227" s="1650">
        <v>1489</v>
      </c>
      <c r="G227" s="1656">
        <v>703</v>
      </c>
      <c r="H227" s="1652" t="s">
        <v>1702</v>
      </c>
      <c r="I227" s="1662">
        <v>60</v>
      </c>
      <c r="J227" s="1645" t="s">
        <v>493</v>
      </c>
    </row>
    <row r="228" spans="2:10" s="1632" customFormat="1" ht="21.75" customHeight="1">
      <c r="B228" s="1645" t="s">
        <v>1705</v>
      </c>
      <c r="C228" s="1658" t="s">
        <v>1706</v>
      </c>
      <c r="D228" s="1650">
        <v>3514</v>
      </c>
      <c r="E228" s="1650">
        <v>2025</v>
      </c>
      <c r="F228" s="1650">
        <v>1489</v>
      </c>
      <c r="G228" s="1656">
        <v>703</v>
      </c>
      <c r="H228" s="1652" t="s">
        <v>1702</v>
      </c>
      <c r="I228" s="1662">
        <v>60</v>
      </c>
      <c r="J228" s="1645" t="s">
        <v>493</v>
      </c>
    </row>
    <row r="229" spans="2:10" s="1632" customFormat="1" ht="21.75" customHeight="1">
      <c r="B229" s="1645" t="s">
        <v>1707</v>
      </c>
      <c r="C229" s="1645" t="s">
        <v>1708</v>
      </c>
      <c r="D229" s="1650">
        <v>24246</v>
      </c>
      <c r="E229" s="1650">
        <v>24246</v>
      </c>
      <c r="F229" s="1655" t="s">
        <v>568</v>
      </c>
      <c r="G229" s="1656">
        <v>351</v>
      </c>
      <c r="H229" s="1652" t="s">
        <v>1709</v>
      </c>
      <c r="I229" s="1652" t="s">
        <v>568</v>
      </c>
      <c r="J229" s="1645" t="s">
        <v>493</v>
      </c>
    </row>
    <row r="230" spans="2:10" s="1632" customFormat="1" ht="21.75" customHeight="1">
      <c r="B230" s="1645" t="s">
        <v>1710</v>
      </c>
      <c r="C230" s="1658" t="s">
        <v>1711</v>
      </c>
      <c r="D230" s="1650">
        <v>2805</v>
      </c>
      <c r="E230" s="1650">
        <v>1618</v>
      </c>
      <c r="F230" s="1650">
        <v>1187</v>
      </c>
      <c r="G230" s="1656">
        <v>701</v>
      </c>
      <c r="H230" s="1652" t="s">
        <v>1702</v>
      </c>
      <c r="I230" s="1662">
        <v>48</v>
      </c>
      <c r="J230" s="1645" t="s">
        <v>493</v>
      </c>
    </row>
    <row r="231" spans="2:10" s="1632" customFormat="1" ht="21.75" customHeight="1">
      <c r="B231" s="1645" t="s">
        <v>1712</v>
      </c>
      <c r="C231" s="1658" t="s">
        <v>1713</v>
      </c>
      <c r="D231" s="1650">
        <v>2805</v>
      </c>
      <c r="E231" s="1650">
        <v>1618</v>
      </c>
      <c r="F231" s="1650">
        <v>1187</v>
      </c>
      <c r="G231" s="1656">
        <v>701</v>
      </c>
      <c r="H231" s="1652" t="s">
        <v>1702</v>
      </c>
      <c r="I231" s="1662">
        <v>48</v>
      </c>
      <c r="J231" s="1645" t="s">
        <v>493</v>
      </c>
    </row>
    <row r="232" spans="2:10" s="1632" customFormat="1" ht="32.25" customHeight="1">
      <c r="B232" s="1645" t="s">
        <v>1714</v>
      </c>
      <c r="C232" s="1645" t="s">
        <v>1715</v>
      </c>
      <c r="D232" s="1650">
        <v>10053</v>
      </c>
      <c r="E232" s="1650">
        <v>10053</v>
      </c>
      <c r="F232" s="1655" t="s">
        <v>568</v>
      </c>
      <c r="G232" s="1656">
        <v>240</v>
      </c>
      <c r="H232" s="1652" t="s">
        <v>1716</v>
      </c>
      <c r="I232" s="1652" t="s">
        <v>568</v>
      </c>
      <c r="J232" s="1645" t="s">
        <v>493</v>
      </c>
    </row>
    <row r="233" spans="2:10" s="1632" customFormat="1" ht="32.25" customHeight="1">
      <c r="B233" s="1645" t="s">
        <v>1717</v>
      </c>
      <c r="C233" s="1645" t="s">
        <v>1715</v>
      </c>
      <c r="D233" s="1650">
        <v>10053</v>
      </c>
      <c r="E233" s="1650">
        <v>10053</v>
      </c>
      <c r="F233" s="1655" t="s">
        <v>568</v>
      </c>
      <c r="G233" s="1656">
        <v>240</v>
      </c>
      <c r="H233" s="1652" t="s">
        <v>1716</v>
      </c>
      <c r="I233" s="1652" t="s">
        <v>568</v>
      </c>
      <c r="J233" s="1645" t="s">
        <v>493</v>
      </c>
    </row>
    <row r="234" spans="2:10" s="1632" customFormat="1" ht="21.75" customHeight="1">
      <c r="B234" s="1645" t="s">
        <v>1718</v>
      </c>
      <c r="C234" s="1645" t="s">
        <v>1719</v>
      </c>
      <c r="D234" s="1661">
        <v>720</v>
      </c>
      <c r="E234" s="1661">
        <v>720</v>
      </c>
      <c r="F234" s="1655" t="s">
        <v>568</v>
      </c>
      <c r="G234" s="1656">
        <v>360</v>
      </c>
      <c r="H234" s="1652" t="s">
        <v>1720</v>
      </c>
      <c r="I234" s="1652" t="s">
        <v>568</v>
      </c>
      <c r="J234" s="1645" t="s">
        <v>493</v>
      </c>
    </row>
    <row r="235" spans="2:10" s="1632" customFormat="1" ht="21.75" customHeight="1">
      <c r="B235" s="1645" t="s">
        <v>1721</v>
      </c>
      <c r="C235" s="1645" t="s">
        <v>1722</v>
      </c>
      <c r="D235" s="1650">
        <v>24884</v>
      </c>
      <c r="E235" s="1650">
        <v>24884</v>
      </c>
      <c r="F235" s="1655" t="s">
        <v>568</v>
      </c>
      <c r="G235" s="1656">
        <v>235</v>
      </c>
      <c r="H235" s="1652" t="s">
        <v>1720</v>
      </c>
      <c r="I235" s="1652" t="s">
        <v>568</v>
      </c>
      <c r="J235" s="1645" t="s">
        <v>493</v>
      </c>
    </row>
    <row r="236" spans="2:10" s="1632" customFormat="1" ht="21.75" customHeight="1">
      <c r="B236" s="1645" t="s">
        <v>1723</v>
      </c>
      <c r="C236" s="1645" t="s">
        <v>1724</v>
      </c>
      <c r="D236" s="1650">
        <v>24884</v>
      </c>
      <c r="E236" s="1650">
        <v>24884</v>
      </c>
      <c r="F236" s="1655" t="s">
        <v>568</v>
      </c>
      <c r="G236" s="1656">
        <v>235</v>
      </c>
      <c r="H236" s="1652" t="s">
        <v>1720</v>
      </c>
      <c r="I236" s="1652" t="s">
        <v>568</v>
      </c>
      <c r="J236" s="1645" t="s">
        <v>493</v>
      </c>
    </row>
    <row r="237" spans="2:10" s="1632" customFormat="1" ht="21.75" customHeight="1">
      <c r="B237" s="1645" t="s">
        <v>1725</v>
      </c>
      <c r="C237" s="1645" t="s">
        <v>1726</v>
      </c>
      <c r="D237" s="1650">
        <v>1599</v>
      </c>
      <c r="E237" s="1650">
        <v>1599</v>
      </c>
      <c r="F237" s="1655" t="s">
        <v>568</v>
      </c>
      <c r="G237" s="1656">
        <v>72</v>
      </c>
      <c r="H237" s="1652" t="s">
        <v>1720</v>
      </c>
      <c r="I237" s="1652" t="s">
        <v>568</v>
      </c>
      <c r="J237" s="1645" t="s">
        <v>493</v>
      </c>
    </row>
    <row r="238" spans="2:10" s="1632" customFormat="1" ht="21.75" customHeight="1">
      <c r="B238" s="1645" t="s">
        <v>1727</v>
      </c>
      <c r="C238" s="1645" t="s">
        <v>1728</v>
      </c>
      <c r="D238" s="1650">
        <v>1599</v>
      </c>
      <c r="E238" s="1650">
        <v>1599</v>
      </c>
      <c r="F238" s="1655" t="s">
        <v>568</v>
      </c>
      <c r="G238" s="1656">
        <v>72</v>
      </c>
      <c r="H238" s="1652" t="s">
        <v>1720</v>
      </c>
      <c r="I238" s="1652" t="s">
        <v>568</v>
      </c>
      <c r="J238" s="1645" t="s">
        <v>493</v>
      </c>
    </row>
    <row r="239" spans="2:10" s="1632" customFormat="1" ht="21.75" customHeight="1">
      <c r="B239" s="1645" t="s">
        <v>1729</v>
      </c>
      <c r="C239" s="1645" t="s">
        <v>1730</v>
      </c>
      <c r="D239" s="1650">
        <v>1599</v>
      </c>
      <c r="E239" s="1650">
        <v>1599</v>
      </c>
      <c r="F239" s="1655" t="s">
        <v>568</v>
      </c>
      <c r="G239" s="1656">
        <v>72</v>
      </c>
      <c r="H239" s="1652" t="s">
        <v>1720</v>
      </c>
      <c r="I239" s="1652" t="s">
        <v>568</v>
      </c>
      <c r="J239" s="1645" t="s">
        <v>493</v>
      </c>
    </row>
    <row r="240" spans="2:10" s="1632" customFormat="1" ht="21.75" customHeight="1">
      <c r="B240" s="1645" t="s">
        <v>1731</v>
      </c>
      <c r="C240" s="1645" t="s">
        <v>1732</v>
      </c>
      <c r="D240" s="1650">
        <v>1599</v>
      </c>
      <c r="E240" s="1650">
        <v>1599</v>
      </c>
      <c r="F240" s="1655" t="s">
        <v>568</v>
      </c>
      <c r="G240" s="1656">
        <v>72</v>
      </c>
      <c r="H240" s="1652" t="s">
        <v>1720</v>
      </c>
      <c r="I240" s="1652" t="s">
        <v>568</v>
      </c>
      <c r="J240" s="1645" t="s">
        <v>493</v>
      </c>
    </row>
    <row r="241" spans="2:10" s="1632" customFormat="1" ht="21.75" customHeight="1">
      <c r="B241" s="1645" t="s">
        <v>1733</v>
      </c>
      <c r="C241" s="1645" t="s">
        <v>1734</v>
      </c>
      <c r="D241" s="1650">
        <v>1599</v>
      </c>
      <c r="E241" s="1650">
        <v>1599</v>
      </c>
      <c r="F241" s="1655" t="s">
        <v>568</v>
      </c>
      <c r="G241" s="1656">
        <v>72</v>
      </c>
      <c r="H241" s="1652" t="s">
        <v>1720</v>
      </c>
      <c r="I241" s="1652" t="s">
        <v>568</v>
      </c>
      <c r="J241" s="1645" t="s">
        <v>493</v>
      </c>
    </row>
    <row r="242" spans="2:10" s="1632" customFormat="1" ht="21.75" customHeight="1">
      <c r="B242" s="1645" t="s">
        <v>1735</v>
      </c>
      <c r="C242" s="1645" t="s">
        <v>1736</v>
      </c>
      <c r="D242" s="1650">
        <v>1595</v>
      </c>
      <c r="E242" s="1650">
        <v>1595</v>
      </c>
      <c r="F242" s="1655" t="s">
        <v>568</v>
      </c>
      <c r="G242" s="1656">
        <v>72</v>
      </c>
      <c r="H242" s="1652" t="s">
        <v>1720</v>
      </c>
      <c r="I242" s="1652" t="s">
        <v>568</v>
      </c>
      <c r="J242" s="1645" t="s">
        <v>493</v>
      </c>
    </row>
    <row r="243" spans="2:10" s="1632" customFormat="1" ht="21.75" customHeight="1">
      <c r="B243" s="1645" t="s">
        <v>1737</v>
      </c>
      <c r="C243" s="1645" t="s">
        <v>1738</v>
      </c>
      <c r="D243" s="1650">
        <v>1595</v>
      </c>
      <c r="E243" s="1650">
        <v>1595</v>
      </c>
      <c r="F243" s="1655" t="s">
        <v>568</v>
      </c>
      <c r="G243" s="1656">
        <v>72</v>
      </c>
      <c r="H243" s="1652" t="s">
        <v>1720</v>
      </c>
      <c r="I243" s="1652" t="s">
        <v>568</v>
      </c>
      <c r="J243" s="1645" t="s">
        <v>493</v>
      </c>
    </row>
    <row r="244" spans="2:10" s="1632" customFormat="1" ht="21.75" customHeight="1">
      <c r="B244" s="1645" t="s">
        <v>1739</v>
      </c>
      <c r="C244" s="1645" t="s">
        <v>1740</v>
      </c>
      <c r="D244" s="1650">
        <v>1595</v>
      </c>
      <c r="E244" s="1650">
        <v>1595</v>
      </c>
      <c r="F244" s="1655" t="s">
        <v>568</v>
      </c>
      <c r="G244" s="1656">
        <v>72</v>
      </c>
      <c r="H244" s="1652" t="s">
        <v>1720</v>
      </c>
      <c r="I244" s="1652" t="s">
        <v>568</v>
      </c>
      <c r="J244" s="1645" t="s">
        <v>493</v>
      </c>
    </row>
    <row r="245" spans="2:10" s="1632" customFormat="1" ht="21.75" customHeight="1">
      <c r="B245" s="1645" t="s">
        <v>1741</v>
      </c>
      <c r="C245" s="1645" t="s">
        <v>1742</v>
      </c>
      <c r="D245" s="1650">
        <v>1595</v>
      </c>
      <c r="E245" s="1650">
        <v>1595</v>
      </c>
      <c r="F245" s="1655" t="s">
        <v>568</v>
      </c>
      <c r="G245" s="1656">
        <v>72</v>
      </c>
      <c r="H245" s="1652" t="s">
        <v>1720</v>
      </c>
      <c r="I245" s="1652" t="s">
        <v>568</v>
      </c>
      <c r="J245" s="1645" t="s">
        <v>493</v>
      </c>
    </row>
    <row r="246" spans="2:10" s="1632" customFormat="1" ht="21.75" customHeight="1">
      <c r="B246" s="1645" t="s">
        <v>1743</v>
      </c>
      <c r="C246" s="1645" t="s">
        <v>1744</v>
      </c>
      <c r="D246" s="1650">
        <v>4003</v>
      </c>
      <c r="E246" s="1650">
        <v>4003</v>
      </c>
      <c r="F246" s="1655" t="s">
        <v>568</v>
      </c>
      <c r="G246" s="1656">
        <v>72</v>
      </c>
      <c r="H246" s="1652" t="s">
        <v>1720</v>
      </c>
      <c r="I246" s="1652" t="s">
        <v>568</v>
      </c>
      <c r="J246" s="1645" t="s">
        <v>493</v>
      </c>
    </row>
    <row r="247" spans="2:10" s="1632" customFormat="1" ht="32.25" customHeight="1">
      <c r="B247" s="1645" t="s">
        <v>1745</v>
      </c>
      <c r="C247" s="1645" t="s">
        <v>1746</v>
      </c>
      <c r="D247" s="1650">
        <v>9800000</v>
      </c>
      <c r="E247" s="1650">
        <v>8247458.77</v>
      </c>
      <c r="F247" s="1650">
        <v>1552541.23</v>
      </c>
      <c r="G247" s="1656">
        <v>480</v>
      </c>
      <c r="H247" s="1652" t="s">
        <v>1747</v>
      </c>
      <c r="I247" s="1653">
        <v>285828.87</v>
      </c>
      <c r="J247" s="1645" t="s">
        <v>493</v>
      </c>
    </row>
    <row r="248" spans="2:10" s="1632" customFormat="1" ht="21.75" customHeight="1">
      <c r="B248" s="1645" t="s">
        <v>1748</v>
      </c>
      <c r="C248" s="1645" t="s">
        <v>1749</v>
      </c>
      <c r="D248" s="1650">
        <v>5292</v>
      </c>
      <c r="E248" s="1650">
        <v>5292</v>
      </c>
      <c r="F248" s="1655" t="s">
        <v>568</v>
      </c>
      <c r="G248" s="1656">
        <v>48</v>
      </c>
      <c r="H248" s="1652" t="s">
        <v>1750</v>
      </c>
      <c r="I248" s="1652" t="s">
        <v>568</v>
      </c>
      <c r="J248" s="1645" t="s">
        <v>493</v>
      </c>
    </row>
    <row r="249" spans="2:10" s="1632" customFormat="1" ht="21.75" customHeight="1">
      <c r="B249" s="1645" t="s">
        <v>1751</v>
      </c>
      <c r="C249" s="1645" t="s">
        <v>1752</v>
      </c>
      <c r="D249" s="1650">
        <v>2887</v>
      </c>
      <c r="E249" s="1650">
        <v>2887</v>
      </c>
      <c r="F249" s="1655" t="s">
        <v>568</v>
      </c>
      <c r="G249" s="1656">
        <v>72</v>
      </c>
      <c r="H249" s="1652" t="s">
        <v>1753</v>
      </c>
      <c r="I249" s="1652" t="s">
        <v>568</v>
      </c>
      <c r="J249" s="1645" t="s">
        <v>493</v>
      </c>
    </row>
    <row r="250" spans="2:10" s="1632" customFormat="1" ht="20.25" customHeight="1">
      <c r="B250" s="1645" t="s">
        <v>1754</v>
      </c>
      <c r="C250" s="1645" t="s">
        <v>1755</v>
      </c>
      <c r="D250" s="1661">
        <v>720</v>
      </c>
      <c r="E250" s="1661">
        <v>718</v>
      </c>
      <c r="F250" s="1661">
        <v>2</v>
      </c>
      <c r="G250" s="1656">
        <v>360</v>
      </c>
      <c r="H250" s="1652" t="s">
        <v>1753</v>
      </c>
      <c r="I250" s="1654">
        <v>24</v>
      </c>
      <c r="J250" s="1645" t="s">
        <v>493</v>
      </c>
    </row>
    <row r="251" spans="2:10" s="1632" customFormat="1" ht="21.75" customHeight="1">
      <c r="B251" s="1645" t="s">
        <v>1756</v>
      </c>
      <c r="C251" s="1645" t="s">
        <v>1757</v>
      </c>
      <c r="D251" s="1650">
        <v>6353</v>
      </c>
      <c r="E251" s="1650">
        <v>6121</v>
      </c>
      <c r="F251" s="1661">
        <v>232</v>
      </c>
      <c r="G251" s="1656">
        <v>397</v>
      </c>
      <c r="H251" s="1652" t="s">
        <v>1753</v>
      </c>
      <c r="I251" s="1654">
        <v>192</v>
      </c>
      <c r="J251" s="1645" t="s">
        <v>493</v>
      </c>
    </row>
    <row r="252" spans="2:10" s="1632" customFormat="1" ht="21.75" customHeight="1">
      <c r="B252" s="1645" t="s">
        <v>1758</v>
      </c>
      <c r="C252" s="1645" t="s">
        <v>1759</v>
      </c>
      <c r="D252" s="1650">
        <v>3317</v>
      </c>
      <c r="E252" s="1650">
        <v>3317</v>
      </c>
      <c r="F252" s="1655" t="s">
        <v>568</v>
      </c>
      <c r="G252" s="1656">
        <v>72</v>
      </c>
      <c r="H252" s="1652" t="s">
        <v>1753</v>
      </c>
      <c r="I252" s="1652" t="s">
        <v>568</v>
      </c>
      <c r="J252" s="1645" t="s">
        <v>493</v>
      </c>
    </row>
    <row r="253" spans="2:10" s="1632" customFormat="1" ht="21.75" customHeight="1">
      <c r="B253" s="1645" t="s">
        <v>1760</v>
      </c>
      <c r="C253" s="1645" t="s">
        <v>1761</v>
      </c>
      <c r="D253" s="1650">
        <v>3317</v>
      </c>
      <c r="E253" s="1650">
        <v>3317</v>
      </c>
      <c r="F253" s="1655" t="s">
        <v>568</v>
      </c>
      <c r="G253" s="1656">
        <v>72</v>
      </c>
      <c r="H253" s="1652" t="s">
        <v>1753</v>
      </c>
      <c r="I253" s="1652" t="s">
        <v>568</v>
      </c>
      <c r="J253" s="1645" t="s">
        <v>493</v>
      </c>
    </row>
    <row r="254" spans="2:10" s="1632" customFormat="1" ht="21.75" customHeight="1">
      <c r="B254" s="1645" t="s">
        <v>1762</v>
      </c>
      <c r="C254" s="1645" t="s">
        <v>1763</v>
      </c>
      <c r="D254" s="1650">
        <v>1363</v>
      </c>
      <c r="E254" s="1650">
        <v>1363</v>
      </c>
      <c r="F254" s="1655" t="s">
        <v>568</v>
      </c>
      <c r="G254" s="1656">
        <v>72</v>
      </c>
      <c r="H254" s="1652" t="s">
        <v>1753</v>
      </c>
      <c r="I254" s="1652" t="s">
        <v>568</v>
      </c>
      <c r="J254" s="1645" t="s">
        <v>493</v>
      </c>
    </row>
    <row r="255" spans="2:10" s="1632" customFormat="1" ht="21.75" customHeight="1">
      <c r="B255" s="1645" t="s">
        <v>1764</v>
      </c>
      <c r="C255" s="1645" t="s">
        <v>1765</v>
      </c>
      <c r="D255" s="1650">
        <v>1359</v>
      </c>
      <c r="E255" s="1650">
        <v>1359</v>
      </c>
      <c r="F255" s="1655" t="s">
        <v>568</v>
      </c>
      <c r="G255" s="1656">
        <v>72</v>
      </c>
      <c r="H255" s="1652" t="s">
        <v>1753</v>
      </c>
      <c r="I255" s="1652" t="s">
        <v>568</v>
      </c>
      <c r="J255" s="1645" t="s">
        <v>493</v>
      </c>
    </row>
    <row r="256" spans="2:10" s="1632" customFormat="1" ht="21.75" customHeight="1">
      <c r="B256" s="1645" t="s">
        <v>1766</v>
      </c>
      <c r="C256" s="1645" t="s">
        <v>1767</v>
      </c>
      <c r="D256" s="1650">
        <v>2461</v>
      </c>
      <c r="E256" s="1650">
        <v>2461</v>
      </c>
      <c r="F256" s="1655" t="s">
        <v>568</v>
      </c>
      <c r="G256" s="1656">
        <v>72</v>
      </c>
      <c r="H256" s="1652" t="s">
        <v>1768</v>
      </c>
      <c r="I256" s="1652" t="s">
        <v>568</v>
      </c>
      <c r="J256" s="1645" t="s">
        <v>493</v>
      </c>
    </row>
    <row r="257" spans="2:10" s="1632" customFormat="1" ht="32.25" customHeight="1">
      <c r="B257" s="1645" t="s">
        <v>1769</v>
      </c>
      <c r="C257" s="1645" t="s">
        <v>1770</v>
      </c>
      <c r="D257" s="1661">
        <v>343</v>
      </c>
      <c r="E257" s="1661">
        <v>343</v>
      </c>
      <c r="F257" s="1655" t="s">
        <v>568</v>
      </c>
      <c r="G257" s="1656">
        <v>72</v>
      </c>
      <c r="H257" s="1652" t="s">
        <v>1771</v>
      </c>
      <c r="I257" s="1652" t="s">
        <v>568</v>
      </c>
      <c r="J257" s="1645" t="s">
        <v>493</v>
      </c>
    </row>
    <row r="258" spans="2:10" s="1632" customFormat="1" ht="32.25" customHeight="1">
      <c r="B258" s="1645" t="s">
        <v>1772</v>
      </c>
      <c r="C258" s="1645" t="s">
        <v>1773</v>
      </c>
      <c r="D258" s="1661">
        <v>343</v>
      </c>
      <c r="E258" s="1661">
        <v>343</v>
      </c>
      <c r="F258" s="1655" t="s">
        <v>568</v>
      </c>
      <c r="G258" s="1656">
        <v>72</v>
      </c>
      <c r="H258" s="1652" t="s">
        <v>1771</v>
      </c>
      <c r="I258" s="1652" t="s">
        <v>568</v>
      </c>
      <c r="J258" s="1645" t="s">
        <v>493</v>
      </c>
    </row>
    <row r="259" spans="2:10" s="1632" customFormat="1" ht="32.25" customHeight="1">
      <c r="B259" s="1645" t="s">
        <v>1774</v>
      </c>
      <c r="C259" s="1645" t="s">
        <v>1775</v>
      </c>
      <c r="D259" s="1661">
        <v>343</v>
      </c>
      <c r="E259" s="1661">
        <v>343</v>
      </c>
      <c r="F259" s="1655" t="s">
        <v>568</v>
      </c>
      <c r="G259" s="1656">
        <v>72</v>
      </c>
      <c r="H259" s="1652" t="s">
        <v>1771</v>
      </c>
      <c r="I259" s="1652" t="s">
        <v>568</v>
      </c>
      <c r="J259" s="1645" t="s">
        <v>493</v>
      </c>
    </row>
    <row r="260" spans="2:10" s="1632" customFormat="1" ht="21.75" customHeight="1">
      <c r="B260" s="1645" t="s">
        <v>1776</v>
      </c>
      <c r="C260" s="1645" t="s">
        <v>1777</v>
      </c>
      <c r="D260" s="1650">
        <v>1500</v>
      </c>
      <c r="E260" s="1650">
        <v>1482</v>
      </c>
      <c r="F260" s="1661">
        <v>18</v>
      </c>
      <c r="G260" s="1656">
        <v>375</v>
      </c>
      <c r="H260" s="1652" t="s">
        <v>1778</v>
      </c>
      <c r="I260" s="1654">
        <v>48</v>
      </c>
      <c r="J260" s="1645" t="s">
        <v>493</v>
      </c>
    </row>
    <row r="261" spans="2:10" s="1632" customFormat="1" ht="21.75" customHeight="1">
      <c r="B261" s="1645" t="s">
        <v>1779</v>
      </c>
      <c r="C261" s="1645" t="s">
        <v>1780</v>
      </c>
      <c r="D261" s="1650">
        <v>24979</v>
      </c>
      <c r="E261" s="1650">
        <v>24051.6</v>
      </c>
      <c r="F261" s="1661">
        <v>927.4</v>
      </c>
      <c r="G261" s="1656">
        <v>373</v>
      </c>
      <c r="H261" s="1652" t="s">
        <v>1778</v>
      </c>
      <c r="I261" s="1654">
        <v>803.64</v>
      </c>
      <c r="J261" s="1645" t="s">
        <v>493</v>
      </c>
    </row>
    <row r="262" spans="2:10" s="1632" customFormat="1" ht="21.75" customHeight="1">
      <c r="B262" s="1645" t="s">
        <v>1781</v>
      </c>
      <c r="C262" s="1645" t="s">
        <v>1782</v>
      </c>
      <c r="D262" s="1650">
        <v>1859</v>
      </c>
      <c r="E262" s="1650">
        <v>1859</v>
      </c>
      <c r="F262" s="1655" t="s">
        <v>568</v>
      </c>
      <c r="G262" s="1656">
        <v>72</v>
      </c>
      <c r="H262" s="1652" t="s">
        <v>1778</v>
      </c>
      <c r="I262" s="1652" t="s">
        <v>568</v>
      </c>
      <c r="J262" s="1645" t="s">
        <v>493</v>
      </c>
    </row>
    <row r="263" spans="2:10" s="1632" customFormat="1" ht="21.75" customHeight="1">
      <c r="B263" s="1645" t="s">
        <v>1783</v>
      </c>
      <c r="C263" s="1645" t="s">
        <v>1784</v>
      </c>
      <c r="D263" s="1650">
        <v>2106</v>
      </c>
      <c r="E263" s="1650">
        <v>2106</v>
      </c>
      <c r="F263" s="1655" t="s">
        <v>568</v>
      </c>
      <c r="G263" s="1656">
        <v>72</v>
      </c>
      <c r="H263" s="1652" t="s">
        <v>1136</v>
      </c>
      <c r="I263" s="1652" t="s">
        <v>568</v>
      </c>
      <c r="J263" s="1645" t="s">
        <v>493</v>
      </c>
    </row>
    <row r="264" spans="2:10" s="1632" customFormat="1" ht="21.75" customHeight="1">
      <c r="B264" s="1645" t="s">
        <v>1785</v>
      </c>
      <c r="C264" s="1645" t="s">
        <v>1786</v>
      </c>
      <c r="D264" s="1650">
        <v>2474</v>
      </c>
      <c r="E264" s="1650">
        <v>2474</v>
      </c>
      <c r="F264" s="1655" t="s">
        <v>568</v>
      </c>
      <c r="G264" s="1656">
        <v>72</v>
      </c>
      <c r="H264" s="1652" t="s">
        <v>1778</v>
      </c>
      <c r="I264" s="1652" t="s">
        <v>568</v>
      </c>
      <c r="J264" s="1645" t="s">
        <v>493</v>
      </c>
    </row>
    <row r="265" spans="2:10" s="1632" customFormat="1" ht="21.75" customHeight="1">
      <c r="B265" s="1645" t="s">
        <v>1787</v>
      </c>
      <c r="C265" s="1645" t="s">
        <v>1788</v>
      </c>
      <c r="D265" s="1650">
        <v>31413</v>
      </c>
      <c r="E265" s="1650">
        <v>31413</v>
      </c>
      <c r="F265" s="1655" t="s">
        <v>568</v>
      </c>
      <c r="G265" s="1656">
        <v>220</v>
      </c>
      <c r="H265" s="1652" t="s">
        <v>1778</v>
      </c>
      <c r="I265" s="1652" t="s">
        <v>568</v>
      </c>
      <c r="J265" s="1645" t="s">
        <v>493</v>
      </c>
    </row>
    <row r="266" spans="2:10" s="1632" customFormat="1" ht="21.75" customHeight="1">
      <c r="B266" s="1645" t="s">
        <v>1789</v>
      </c>
      <c r="C266" s="1645" t="s">
        <v>1790</v>
      </c>
      <c r="D266" s="1650">
        <v>477637</v>
      </c>
      <c r="E266" s="1650">
        <v>477637</v>
      </c>
      <c r="F266" s="1655" t="s">
        <v>568</v>
      </c>
      <c r="G266" s="1656">
        <v>220</v>
      </c>
      <c r="H266" s="1652" t="s">
        <v>1778</v>
      </c>
      <c r="I266" s="1652" t="s">
        <v>568</v>
      </c>
      <c r="J266" s="1645" t="s">
        <v>493</v>
      </c>
    </row>
    <row r="267" spans="2:10" s="1632" customFormat="1" ht="21.75" customHeight="1">
      <c r="B267" s="1645" t="s">
        <v>1791</v>
      </c>
      <c r="C267" s="1645" t="s">
        <v>1792</v>
      </c>
      <c r="D267" s="1650">
        <v>477637</v>
      </c>
      <c r="E267" s="1650">
        <v>477637</v>
      </c>
      <c r="F267" s="1655" t="s">
        <v>568</v>
      </c>
      <c r="G267" s="1656">
        <v>220</v>
      </c>
      <c r="H267" s="1652" t="s">
        <v>1778</v>
      </c>
      <c r="I267" s="1652" t="s">
        <v>568</v>
      </c>
      <c r="J267" s="1645" t="s">
        <v>493</v>
      </c>
    </row>
    <row r="268" spans="2:10" s="1632" customFormat="1" ht="21.75" customHeight="1">
      <c r="B268" s="1645" t="s">
        <v>1793</v>
      </c>
      <c r="C268" s="1645" t="s">
        <v>1794</v>
      </c>
      <c r="D268" s="1650">
        <v>1496</v>
      </c>
      <c r="E268" s="1650">
        <v>1496</v>
      </c>
      <c r="F268" s="1655" t="s">
        <v>568</v>
      </c>
      <c r="G268" s="1656">
        <v>72</v>
      </c>
      <c r="H268" s="1652" t="s">
        <v>1795</v>
      </c>
      <c r="I268" s="1652" t="s">
        <v>568</v>
      </c>
      <c r="J268" s="1645" t="s">
        <v>493</v>
      </c>
    </row>
    <row r="269" spans="2:10" s="1632" customFormat="1" ht="21.75" customHeight="1">
      <c r="B269" s="1645" t="s">
        <v>1796</v>
      </c>
      <c r="C269" s="1645" t="s">
        <v>1797</v>
      </c>
      <c r="D269" s="1650">
        <v>1501</v>
      </c>
      <c r="E269" s="1650">
        <v>1501</v>
      </c>
      <c r="F269" s="1655" t="s">
        <v>568</v>
      </c>
      <c r="G269" s="1656">
        <v>72</v>
      </c>
      <c r="H269" s="1652" t="s">
        <v>1795</v>
      </c>
      <c r="I269" s="1652" t="s">
        <v>568</v>
      </c>
      <c r="J269" s="1645" t="s">
        <v>493</v>
      </c>
    </row>
    <row r="270" spans="2:10" s="1632" customFormat="1" ht="21.75" customHeight="1">
      <c r="B270" s="1645" t="s">
        <v>1798</v>
      </c>
      <c r="C270" s="1645" t="s">
        <v>1799</v>
      </c>
      <c r="D270" s="1650">
        <v>5613</v>
      </c>
      <c r="E270" s="1650">
        <v>5613</v>
      </c>
      <c r="F270" s="1655" t="s">
        <v>568</v>
      </c>
      <c r="G270" s="1656">
        <v>351</v>
      </c>
      <c r="H270" s="1652" t="s">
        <v>1795</v>
      </c>
      <c r="I270" s="1654">
        <v>48.68</v>
      </c>
      <c r="J270" s="1645" t="s">
        <v>493</v>
      </c>
    </row>
    <row r="271" spans="2:10" s="1632" customFormat="1" ht="21.75" customHeight="1">
      <c r="B271" s="1645" t="s">
        <v>1800</v>
      </c>
      <c r="C271" s="1645" t="s">
        <v>1801</v>
      </c>
      <c r="D271" s="1650">
        <v>40054</v>
      </c>
      <c r="E271" s="1650">
        <v>40054</v>
      </c>
      <c r="F271" s="1655" t="s">
        <v>568</v>
      </c>
      <c r="G271" s="1656">
        <v>218</v>
      </c>
      <c r="H271" s="1652" t="s">
        <v>1795</v>
      </c>
      <c r="I271" s="1652" t="s">
        <v>568</v>
      </c>
      <c r="J271" s="1645" t="s">
        <v>493</v>
      </c>
    </row>
    <row r="272" spans="2:10" s="1632" customFormat="1" ht="21.75" customHeight="1">
      <c r="B272" s="1645" t="s">
        <v>1802</v>
      </c>
      <c r="C272" s="1645" t="s">
        <v>1803</v>
      </c>
      <c r="D272" s="1650">
        <v>1889</v>
      </c>
      <c r="E272" s="1650">
        <v>1889</v>
      </c>
      <c r="F272" s="1655" t="s">
        <v>568</v>
      </c>
      <c r="G272" s="1656">
        <v>72</v>
      </c>
      <c r="H272" s="1652" t="s">
        <v>1804</v>
      </c>
      <c r="I272" s="1652" t="s">
        <v>568</v>
      </c>
      <c r="J272" s="1645" t="s">
        <v>493</v>
      </c>
    </row>
    <row r="273" spans="2:10" s="1632" customFormat="1" ht="21.75" customHeight="1">
      <c r="B273" s="1645" t="s">
        <v>1805</v>
      </c>
      <c r="C273" s="1645" t="s">
        <v>1806</v>
      </c>
      <c r="D273" s="1650">
        <v>1889</v>
      </c>
      <c r="E273" s="1650">
        <v>1889</v>
      </c>
      <c r="F273" s="1655" t="s">
        <v>568</v>
      </c>
      <c r="G273" s="1656">
        <v>72</v>
      </c>
      <c r="H273" s="1652" t="s">
        <v>1804</v>
      </c>
      <c r="I273" s="1652" t="s">
        <v>568</v>
      </c>
      <c r="J273" s="1645" t="s">
        <v>493</v>
      </c>
    </row>
    <row r="274" spans="2:10" s="1632" customFormat="1" ht="21.75" customHeight="1">
      <c r="B274" s="1645" t="s">
        <v>1807</v>
      </c>
      <c r="C274" s="1645" t="s">
        <v>1808</v>
      </c>
      <c r="D274" s="1650">
        <v>1884</v>
      </c>
      <c r="E274" s="1650">
        <v>1884</v>
      </c>
      <c r="F274" s="1655" t="s">
        <v>568</v>
      </c>
      <c r="G274" s="1656">
        <v>72</v>
      </c>
      <c r="H274" s="1652" t="s">
        <v>1804</v>
      </c>
      <c r="I274" s="1652" t="s">
        <v>568</v>
      </c>
      <c r="J274" s="1645" t="s">
        <v>493</v>
      </c>
    </row>
    <row r="275" spans="2:10" s="1632" customFormat="1" ht="21.75" customHeight="1">
      <c r="B275" s="1645" t="s">
        <v>1809</v>
      </c>
      <c r="C275" s="1645" t="s">
        <v>1810</v>
      </c>
      <c r="D275" s="1650">
        <v>4617</v>
      </c>
      <c r="E275" s="1650">
        <v>4617</v>
      </c>
      <c r="F275" s="1655" t="s">
        <v>568</v>
      </c>
      <c r="G275" s="1656">
        <v>72</v>
      </c>
      <c r="H275" s="1652" t="s">
        <v>1811</v>
      </c>
      <c r="I275" s="1652" t="s">
        <v>568</v>
      </c>
      <c r="J275" s="1645" t="s">
        <v>493</v>
      </c>
    </row>
    <row r="276" spans="2:10" s="1632" customFormat="1" ht="21.75" customHeight="1">
      <c r="B276" s="1645" t="s">
        <v>1812</v>
      </c>
      <c r="C276" s="1645" t="s">
        <v>1813</v>
      </c>
      <c r="D276" s="1650">
        <v>4617</v>
      </c>
      <c r="E276" s="1650">
        <v>4617</v>
      </c>
      <c r="F276" s="1655" t="s">
        <v>568</v>
      </c>
      <c r="G276" s="1656">
        <v>72</v>
      </c>
      <c r="H276" s="1652" t="s">
        <v>1811</v>
      </c>
      <c r="I276" s="1652" t="s">
        <v>568</v>
      </c>
      <c r="J276" s="1645" t="s">
        <v>493</v>
      </c>
    </row>
    <row r="277" spans="2:10" s="1632" customFormat="1" ht="21.75" customHeight="1">
      <c r="B277" s="1645" t="s">
        <v>1814</v>
      </c>
      <c r="C277" s="1645" t="s">
        <v>1815</v>
      </c>
      <c r="D277" s="1650">
        <v>2743</v>
      </c>
      <c r="E277" s="1650">
        <v>2743</v>
      </c>
      <c r="F277" s="1655" t="s">
        <v>568</v>
      </c>
      <c r="G277" s="1656">
        <v>72</v>
      </c>
      <c r="H277" s="1652" t="s">
        <v>1804</v>
      </c>
      <c r="I277" s="1652" t="s">
        <v>568</v>
      </c>
      <c r="J277" s="1645" t="s">
        <v>493</v>
      </c>
    </row>
    <row r="278" spans="2:10" s="1632" customFormat="1" ht="21.75" customHeight="1">
      <c r="B278" s="1645" t="s">
        <v>1816</v>
      </c>
      <c r="C278" s="1645" t="s">
        <v>1817</v>
      </c>
      <c r="D278" s="1650">
        <v>10921</v>
      </c>
      <c r="E278" s="1650">
        <v>5594.2</v>
      </c>
      <c r="F278" s="1650">
        <v>5326.8</v>
      </c>
      <c r="G278" s="1656">
        <v>683</v>
      </c>
      <c r="H278" s="1652" t="s">
        <v>1818</v>
      </c>
      <c r="I278" s="1654">
        <v>191.88</v>
      </c>
      <c r="J278" s="1645" t="s">
        <v>493</v>
      </c>
    </row>
    <row r="279" spans="2:10" s="1632" customFormat="1" ht="21.75" customHeight="1">
      <c r="B279" s="1645" t="s">
        <v>1819</v>
      </c>
      <c r="C279" s="1645" t="s">
        <v>1820</v>
      </c>
      <c r="D279" s="1650">
        <v>106300</v>
      </c>
      <c r="E279" s="1650">
        <v>106300</v>
      </c>
      <c r="F279" s="1655" t="s">
        <v>568</v>
      </c>
      <c r="G279" s="1656">
        <v>286</v>
      </c>
      <c r="H279" s="1652" t="s">
        <v>1818</v>
      </c>
      <c r="I279" s="1652" t="s">
        <v>568</v>
      </c>
      <c r="J279" s="1645" t="s">
        <v>493</v>
      </c>
    </row>
    <row r="280" spans="2:10" s="1632" customFormat="1" ht="21.75" customHeight="1">
      <c r="B280" s="1645" t="s">
        <v>1821</v>
      </c>
      <c r="C280" s="1645" t="s">
        <v>1822</v>
      </c>
      <c r="D280" s="1650">
        <v>76105</v>
      </c>
      <c r="E280" s="1650">
        <v>76105</v>
      </c>
      <c r="F280" s="1655" t="s">
        <v>568</v>
      </c>
      <c r="G280" s="1656">
        <v>286</v>
      </c>
      <c r="H280" s="1652" t="s">
        <v>1823</v>
      </c>
      <c r="I280" s="1652" t="s">
        <v>568</v>
      </c>
      <c r="J280" s="1645" t="s">
        <v>493</v>
      </c>
    </row>
    <row r="281" spans="2:10" s="1632" customFormat="1" ht="32.25" customHeight="1">
      <c r="B281" s="1645" t="s">
        <v>1824</v>
      </c>
      <c r="C281" s="1645" t="s">
        <v>1825</v>
      </c>
      <c r="D281" s="1650">
        <v>1193</v>
      </c>
      <c r="E281" s="1650">
        <v>1193</v>
      </c>
      <c r="F281" s="1655" t="s">
        <v>568</v>
      </c>
      <c r="G281" s="1656">
        <v>48</v>
      </c>
      <c r="H281" s="1652" t="s">
        <v>1826</v>
      </c>
      <c r="I281" s="1652" t="s">
        <v>568</v>
      </c>
      <c r="J281" s="1645" t="s">
        <v>493</v>
      </c>
    </row>
    <row r="282" spans="2:10" s="1632" customFormat="1" ht="21.75" customHeight="1">
      <c r="B282" s="1645" t="s">
        <v>1827</v>
      </c>
      <c r="C282" s="1645" t="s">
        <v>1828</v>
      </c>
      <c r="D282" s="1650">
        <v>1545</v>
      </c>
      <c r="E282" s="1650">
        <v>1545</v>
      </c>
      <c r="F282" s="1655" t="s">
        <v>568</v>
      </c>
      <c r="G282" s="1656">
        <v>72</v>
      </c>
      <c r="H282" s="1652" t="s">
        <v>1829</v>
      </c>
      <c r="I282" s="1652" t="s">
        <v>568</v>
      </c>
      <c r="J282" s="1645" t="s">
        <v>493</v>
      </c>
    </row>
    <row r="283" spans="2:10" s="1632" customFormat="1" ht="21.75" customHeight="1">
      <c r="B283" s="1645" t="s">
        <v>1830</v>
      </c>
      <c r="C283" s="1645" t="s">
        <v>1831</v>
      </c>
      <c r="D283" s="1650">
        <v>1545</v>
      </c>
      <c r="E283" s="1650">
        <v>1545</v>
      </c>
      <c r="F283" s="1655" t="s">
        <v>568</v>
      </c>
      <c r="G283" s="1656">
        <v>72</v>
      </c>
      <c r="H283" s="1652" t="s">
        <v>1829</v>
      </c>
      <c r="I283" s="1652" t="s">
        <v>568</v>
      </c>
      <c r="J283" s="1645" t="s">
        <v>493</v>
      </c>
    </row>
    <row r="284" spans="2:10" s="1632" customFormat="1" ht="21.75" customHeight="1">
      <c r="B284" s="1645" t="s">
        <v>1832</v>
      </c>
      <c r="C284" s="1645" t="s">
        <v>1833</v>
      </c>
      <c r="D284" s="1650">
        <v>1550</v>
      </c>
      <c r="E284" s="1650">
        <v>1550</v>
      </c>
      <c r="F284" s="1655" t="s">
        <v>568</v>
      </c>
      <c r="G284" s="1656">
        <v>72</v>
      </c>
      <c r="H284" s="1652" t="s">
        <v>1829</v>
      </c>
      <c r="I284" s="1652" t="s">
        <v>568</v>
      </c>
      <c r="J284" s="1645" t="s">
        <v>493</v>
      </c>
    </row>
    <row r="285" spans="2:10" s="1632" customFormat="1" ht="21.75" customHeight="1">
      <c r="B285" s="1645" t="s">
        <v>1834</v>
      </c>
      <c r="C285" s="1645" t="s">
        <v>1835</v>
      </c>
      <c r="D285" s="1650">
        <v>1810</v>
      </c>
      <c r="E285" s="1650">
        <v>1810</v>
      </c>
      <c r="F285" s="1655" t="s">
        <v>568</v>
      </c>
      <c r="G285" s="1656">
        <v>259</v>
      </c>
      <c r="H285" s="1652" t="s">
        <v>1836</v>
      </c>
      <c r="I285" s="1652" t="s">
        <v>568</v>
      </c>
      <c r="J285" s="1645" t="s">
        <v>493</v>
      </c>
    </row>
    <row r="286" spans="2:10" s="1632" customFormat="1" ht="21.75" customHeight="1">
      <c r="B286" s="1645" t="s">
        <v>1837</v>
      </c>
      <c r="C286" s="1645" t="s">
        <v>1838</v>
      </c>
      <c r="D286" s="1650">
        <v>1810</v>
      </c>
      <c r="E286" s="1650">
        <v>1810</v>
      </c>
      <c r="F286" s="1655" t="s">
        <v>568</v>
      </c>
      <c r="G286" s="1656">
        <v>259</v>
      </c>
      <c r="H286" s="1652" t="s">
        <v>1836</v>
      </c>
      <c r="I286" s="1652" t="s">
        <v>568</v>
      </c>
      <c r="J286" s="1645" t="s">
        <v>493</v>
      </c>
    </row>
    <row r="287" spans="2:10" s="1632" customFormat="1" ht="21.75" customHeight="1">
      <c r="B287" s="1645" t="s">
        <v>1839</v>
      </c>
      <c r="C287" s="1645" t="s">
        <v>1840</v>
      </c>
      <c r="D287" s="1650">
        <v>2580</v>
      </c>
      <c r="E287" s="1650">
        <v>2580</v>
      </c>
      <c r="F287" s="1655" t="s">
        <v>568</v>
      </c>
      <c r="G287" s="1656">
        <v>287</v>
      </c>
      <c r="H287" s="1652" t="s">
        <v>1841</v>
      </c>
      <c r="I287" s="1652" t="s">
        <v>568</v>
      </c>
      <c r="J287" s="1645" t="s">
        <v>493</v>
      </c>
    </row>
    <row r="288" spans="2:10" s="1632" customFormat="1" ht="21.75" customHeight="1">
      <c r="B288" s="1645" t="s">
        <v>1842</v>
      </c>
      <c r="C288" s="1645" t="s">
        <v>1843</v>
      </c>
      <c r="D288" s="1650">
        <v>5967</v>
      </c>
      <c r="E288" s="1650">
        <v>5967</v>
      </c>
      <c r="F288" s="1655" t="s">
        <v>568</v>
      </c>
      <c r="G288" s="1656">
        <v>48</v>
      </c>
      <c r="H288" s="1652" t="s">
        <v>1844</v>
      </c>
      <c r="I288" s="1652" t="s">
        <v>568</v>
      </c>
      <c r="J288" s="1645" t="s">
        <v>493</v>
      </c>
    </row>
    <row r="289" spans="2:10" s="1632" customFormat="1" ht="21.75" customHeight="1">
      <c r="B289" s="1645" t="s">
        <v>1845</v>
      </c>
      <c r="C289" s="1645" t="s">
        <v>1846</v>
      </c>
      <c r="D289" s="1650">
        <v>49362</v>
      </c>
      <c r="E289" s="1650">
        <v>47946.2</v>
      </c>
      <c r="F289" s="1650">
        <v>1415.8</v>
      </c>
      <c r="G289" s="1656">
        <v>334</v>
      </c>
      <c r="H289" s="1652" t="s">
        <v>1847</v>
      </c>
      <c r="I289" s="1653">
        <v>1773.48</v>
      </c>
      <c r="J289" s="1645" t="s">
        <v>493</v>
      </c>
    </row>
    <row r="290" spans="2:10" s="1632" customFormat="1" ht="21.75" customHeight="1">
      <c r="B290" s="1645" t="s">
        <v>1848</v>
      </c>
      <c r="C290" s="1645" t="s">
        <v>1849</v>
      </c>
      <c r="D290" s="1650">
        <v>49362</v>
      </c>
      <c r="E290" s="1650">
        <v>47946.2</v>
      </c>
      <c r="F290" s="1650">
        <v>1415.8</v>
      </c>
      <c r="G290" s="1656">
        <v>334</v>
      </c>
      <c r="H290" s="1652" t="s">
        <v>1847</v>
      </c>
      <c r="I290" s="1653">
        <v>1773.48</v>
      </c>
      <c r="J290" s="1645" t="s">
        <v>493</v>
      </c>
    </row>
    <row r="291" spans="2:10" s="1632" customFormat="1" ht="21.75" customHeight="1">
      <c r="B291" s="1645" t="s">
        <v>1850</v>
      </c>
      <c r="C291" s="1645" t="s">
        <v>1851</v>
      </c>
      <c r="D291" s="1650">
        <v>49372</v>
      </c>
      <c r="E291" s="1650">
        <v>47953.6</v>
      </c>
      <c r="F291" s="1650">
        <v>1418.4</v>
      </c>
      <c r="G291" s="1656">
        <v>334</v>
      </c>
      <c r="H291" s="1652" t="s">
        <v>1847</v>
      </c>
      <c r="I291" s="1653">
        <v>1773.84</v>
      </c>
      <c r="J291" s="1645" t="s">
        <v>493</v>
      </c>
    </row>
    <row r="292" spans="2:10" s="1632" customFormat="1" ht="21.75" customHeight="1">
      <c r="B292" s="1645" t="s">
        <v>1852</v>
      </c>
      <c r="C292" s="1645" t="s">
        <v>1853</v>
      </c>
      <c r="D292" s="1650">
        <v>26000</v>
      </c>
      <c r="E292" s="1650">
        <v>22397.6</v>
      </c>
      <c r="F292" s="1650">
        <v>3602.4</v>
      </c>
      <c r="G292" s="1656">
        <v>377</v>
      </c>
      <c r="H292" s="1652" t="s">
        <v>1847</v>
      </c>
      <c r="I292" s="1654">
        <v>827.64</v>
      </c>
      <c r="J292" s="1645" t="s">
        <v>493</v>
      </c>
    </row>
    <row r="293" spans="2:10" s="1632" customFormat="1" ht="21.75" customHeight="1">
      <c r="B293" s="1645" t="s">
        <v>1854</v>
      </c>
      <c r="C293" s="1645" t="s">
        <v>1855</v>
      </c>
      <c r="D293" s="1650">
        <v>4046</v>
      </c>
      <c r="E293" s="1650">
        <v>2738.2</v>
      </c>
      <c r="F293" s="1650">
        <v>1307.8</v>
      </c>
      <c r="G293" s="1656">
        <v>450</v>
      </c>
      <c r="H293" s="1652" t="s">
        <v>1856</v>
      </c>
      <c r="I293" s="1654">
        <v>107.88</v>
      </c>
      <c r="J293" s="1645" t="s">
        <v>493</v>
      </c>
    </row>
    <row r="294" spans="2:10" s="1632" customFormat="1" ht="21.75" customHeight="1">
      <c r="B294" s="1645" t="s">
        <v>1857</v>
      </c>
      <c r="C294" s="1645" t="s">
        <v>1858</v>
      </c>
      <c r="D294" s="1650">
        <v>4046</v>
      </c>
      <c r="E294" s="1650">
        <v>2954.2</v>
      </c>
      <c r="F294" s="1650">
        <v>1091.8</v>
      </c>
      <c r="G294" s="1656">
        <v>450</v>
      </c>
      <c r="H294" s="1652" t="s">
        <v>1856</v>
      </c>
      <c r="I294" s="1654">
        <v>107.88</v>
      </c>
      <c r="J294" s="1645" t="s">
        <v>493</v>
      </c>
    </row>
    <row r="295" spans="2:10" s="1632" customFormat="1" ht="21.75" customHeight="1">
      <c r="B295" s="1645" t="s">
        <v>1859</v>
      </c>
      <c r="C295" s="1645" t="s">
        <v>1858</v>
      </c>
      <c r="D295" s="1650">
        <v>4046</v>
      </c>
      <c r="E295" s="1650">
        <v>2954.2</v>
      </c>
      <c r="F295" s="1650">
        <v>1091.8</v>
      </c>
      <c r="G295" s="1656">
        <v>450</v>
      </c>
      <c r="H295" s="1652" t="s">
        <v>1856</v>
      </c>
      <c r="I295" s="1654">
        <v>107.88</v>
      </c>
      <c r="J295" s="1645" t="s">
        <v>493</v>
      </c>
    </row>
    <row r="296" spans="2:10" s="1632" customFormat="1" ht="21.75" customHeight="1">
      <c r="B296" s="1645" t="s">
        <v>1860</v>
      </c>
      <c r="C296" s="1645" t="s">
        <v>1861</v>
      </c>
      <c r="D296" s="1650">
        <v>2849</v>
      </c>
      <c r="E296" s="1650">
        <v>2849</v>
      </c>
      <c r="F296" s="1655" t="s">
        <v>568</v>
      </c>
      <c r="G296" s="1656">
        <v>48</v>
      </c>
      <c r="H296" s="1652" t="s">
        <v>1856</v>
      </c>
      <c r="I296" s="1652" t="s">
        <v>568</v>
      </c>
      <c r="J296" s="1645" t="s">
        <v>493</v>
      </c>
    </row>
    <row r="297" spans="2:10" s="1632" customFormat="1" ht="21.75" customHeight="1">
      <c r="B297" s="1645" t="s">
        <v>1862</v>
      </c>
      <c r="C297" s="1645" t="s">
        <v>1863</v>
      </c>
      <c r="D297" s="1650">
        <v>2822</v>
      </c>
      <c r="E297" s="1650">
        <v>2822</v>
      </c>
      <c r="F297" s="1655" t="s">
        <v>568</v>
      </c>
      <c r="G297" s="1656">
        <v>48</v>
      </c>
      <c r="H297" s="1652" t="s">
        <v>1864</v>
      </c>
      <c r="I297" s="1652" t="s">
        <v>568</v>
      </c>
      <c r="J297" s="1645" t="s">
        <v>493</v>
      </c>
    </row>
    <row r="298" spans="2:10" s="1632" customFormat="1" ht="21.75" customHeight="1">
      <c r="B298" s="1645" t="s">
        <v>1865</v>
      </c>
      <c r="C298" s="1645" t="s">
        <v>1866</v>
      </c>
      <c r="D298" s="1650">
        <v>2822</v>
      </c>
      <c r="E298" s="1650">
        <v>2822</v>
      </c>
      <c r="F298" s="1655" t="s">
        <v>568</v>
      </c>
      <c r="G298" s="1656">
        <v>48</v>
      </c>
      <c r="H298" s="1652" t="s">
        <v>1864</v>
      </c>
      <c r="I298" s="1652" t="s">
        <v>568</v>
      </c>
      <c r="J298" s="1645" t="s">
        <v>493</v>
      </c>
    </row>
    <row r="299" spans="2:10" s="1632" customFormat="1" ht="21.75" customHeight="1">
      <c r="B299" s="1645" t="s">
        <v>1867</v>
      </c>
      <c r="C299" s="1645" t="s">
        <v>1868</v>
      </c>
      <c r="D299" s="1650">
        <v>2818</v>
      </c>
      <c r="E299" s="1650">
        <v>2818</v>
      </c>
      <c r="F299" s="1655" t="s">
        <v>568</v>
      </c>
      <c r="G299" s="1656">
        <v>48</v>
      </c>
      <c r="H299" s="1652" t="s">
        <v>1864</v>
      </c>
      <c r="I299" s="1652" t="s">
        <v>568</v>
      </c>
      <c r="J299" s="1645" t="s">
        <v>493</v>
      </c>
    </row>
    <row r="300" spans="2:10" s="1632" customFormat="1" ht="21.75" customHeight="1">
      <c r="B300" s="1645" t="s">
        <v>1869</v>
      </c>
      <c r="C300" s="1645" t="s">
        <v>1870</v>
      </c>
      <c r="D300" s="1650">
        <v>2818</v>
      </c>
      <c r="E300" s="1650">
        <v>2818</v>
      </c>
      <c r="F300" s="1655" t="s">
        <v>568</v>
      </c>
      <c r="G300" s="1656">
        <v>48</v>
      </c>
      <c r="H300" s="1652" t="s">
        <v>1864</v>
      </c>
      <c r="I300" s="1652" t="s">
        <v>568</v>
      </c>
      <c r="J300" s="1645" t="s">
        <v>493</v>
      </c>
    </row>
    <row r="301" spans="2:10" s="1632" customFormat="1" ht="21.75" customHeight="1">
      <c r="B301" s="1645" t="s">
        <v>1871</v>
      </c>
      <c r="C301" s="1645" t="s">
        <v>1872</v>
      </c>
      <c r="D301" s="1650">
        <v>2818</v>
      </c>
      <c r="E301" s="1650">
        <v>2818</v>
      </c>
      <c r="F301" s="1655" t="s">
        <v>568</v>
      </c>
      <c r="G301" s="1656">
        <v>48</v>
      </c>
      <c r="H301" s="1652" t="s">
        <v>1864</v>
      </c>
      <c r="I301" s="1652" t="s">
        <v>568</v>
      </c>
      <c r="J301" s="1645" t="s">
        <v>493</v>
      </c>
    </row>
    <row r="302" spans="2:10" s="1632" customFormat="1" ht="21.75" customHeight="1">
      <c r="B302" s="1645" t="s">
        <v>1873</v>
      </c>
      <c r="C302" s="1645" t="s">
        <v>1874</v>
      </c>
      <c r="D302" s="1650">
        <v>2818</v>
      </c>
      <c r="E302" s="1650">
        <v>2818</v>
      </c>
      <c r="F302" s="1655" t="s">
        <v>568</v>
      </c>
      <c r="G302" s="1656">
        <v>48</v>
      </c>
      <c r="H302" s="1652" t="s">
        <v>1864</v>
      </c>
      <c r="I302" s="1652" t="s">
        <v>568</v>
      </c>
      <c r="J302" s="1645" t="s">
        <v>493</v>
      </c>
    </row>
    <row r="303" spans="2:10" s="1632" customFormat="1" ht="21.75" customHeight="1">
      <c r="B303" s="1645" t="s">
        <v>1875</v>
      </c>
      <c r="C303" s="1645" t="s">
        <v>1876</v>
      </c>
      <c r="D303" s="1650">
        <v>2818</v>
      </c>
      <c r="E303" s="1650">
        <v>2818</v>
      </c>
      <c r="F303" s="1655" t="s">
        <v>568</v>
      </c>
      <c r="G303" s="1656">
        <v>48</v>
      </c>
      <c r="H303" s="1652" t="s">
        <v>1864</v>
      </c>
      <c r="I303" s="1652" t="s">
        <v>568</v>
      </c>
      <c r="J303" s="1645" t="s">
        <v>493</v>
      </c>
    </row>
    <row r="304" spans="2:10" s="1632" customFormat="1" ht="32.25" customHeight="1">
      <c r="B304" s="1645" t="s">
        <v>1877</v>
      </c>
      <c r="C304" s="1645" t="s">
        <v>1878</v>
      </c>
      <c r="D304" s="1650">
        <v>2638</v>
      </c>
      <c r="E304" s="1650">
        <v>2638</v>
      </c>
      <c r="F304" s="1655" t="s">
        <v>568</v>
      </c>
      <c r="G304" s="1656">
        <v>48</v>
      </c>
      <c r="H304" s="1652" t="s">
        <v>1864</v>
      </c>
      <c r="I304" s="1652" t="s">
        <v>568</v>
      </c>
      <c r="J304" s="1645" t="s">
        <v>493</v>
      </c>
    </row>
    <row r="305" spans="2:10" s="1632" customFormat="1" ht="32.25" customHeight="1">
      <c r="B305" s="1645" t="s">
        <v>1879</v>
      </c>
      <c r="C305" s="1645" t="s">
        <v>1880</v>
      </c>
      <c r="D305" s="1650">
        <v>2638</v>
      </c>
      <c r="E305" s="1650">
        <v>2638</v>
      </c>
      <c r="F305" s="1655" t="s">
        <v>568</v>
      </c>
      <c r="G305" s="1656">
        <v>48</v>
      </c>
      <c r="H305" s="1652" t="s">
        <v>1864</v>
      </c>
      <c r="I305" s="1652" t="s">
        <v>568</v>
      </c>
      <c r="J305" s="1645" t="s">
        <v>493</v>
      </c>
    </row>
    <row r="306" spans="2:10" s="1632" customFormat="1" ht="32.25" customHeight="1">
      <c r="B306" s="1645" t="s">
        <v>1881</v>
      </c>
      <c r="C306" s="1645" t="s">
        <v>1882</v>
      </c>
      <c r="D306" s="1650">
        <v>6103</v>
      </c>
      <c r="E306" s="1650">
        <v>6103</v>
      </c>
      <c r="F306" s="1655" t="s">
        <v>568</v>
      </c>
      <c r="G306" s="1656">
        <v>48</v>
      </c>
      <c r="H306" s="1652" t="s">
        <v>1864</v>
      </c>
      <c r="I306" s="1652" t="s">
        <v>568</v>
      </c>
      <c r="J306" s="1645" t="s">
        <v>493</v>
      </c>
    </row>
    <row r="307" spans="2:10" s="1632" customFormat="1" ht="32.25" customHeight="1">
      <c r="B307" s="1645" t="s">
        <v>1883</v>
      </c>
      <c r="C307" s="1645" t="s">
        <v>1884</v>
      </c>
      <c r="D307" s="1650">
        <v>17871</v>
      </c>
      <c r="E307" s="1650">
        <v>17871</v>
      </c>
      <c r="F307" s="1655" t="s">
        <v>568</v>
      </c>
      <c r="G307" s="1656">
        <v>198</v>
      </c>
      <c r="H307" s="1652" t="s">
        <v>1864</v>
      </c>
      <c r="I307" s="1652" t="s">
        <v>568</v>
      </c>
      <c r="J307" s="1645" t="s">
        <v>493</v>
      </c>
    </row>
    <row r="308" spans="2:10" s="1632" customFormat="1" ht="32.25" customHeight="1">
      <c r="B308" s="1645" t="s">
        <v>1885</v>
      </c>
      <c r="C308" s="1645" t="s">
        <v>1886</v>
      </c>
      <c r="D308" s="1650">
        <v>17871</v>
      </c>
      <c r="E308" s="1650">
        <v>17871</v>
      </c>
      <c r="F308" s="1655" t="s">
        <v>568</v>
      </c>
      <c r="G308" s="1656">
        <v>198</v>
      </c>
      <c r="H308" s="1652" t="s">
        <v>1864</v>
      </c>
      <c r="I308" s="1652" t="s">
        <v>568</v>
      </c>
      <c r="J308" s="1645" t="s">
        <v>493</v>
      </c>
    </row>
    <row r="309" spans="2:10" s="1632" customFormat="1" ht="21.75" customHeight="1">
      <c r="B309" s="1645" t="s">
        <v>1887</v>
      </c>
      <c r="C309" s="1645" t="s">
        <v>1888</v>
      </c>
      <c r="D309" s="1650">
        <v>1500</v>
      </c>
      <c r="E309" s="1650">
        <v>1311</v>
      </c>
      <c r="F309" s="1661">
        <v>189</v>
      </c>
      <c r="G309" s="1656">
        <v>375</v>
      </c>
      <c r="H309" s="1652" t="s">
        <v>1864</v>
      </c>
      <c r="I309" s="1654">
        <v>48</v>
      </c>
      <c r="J309" s="1645" t="s">
        <v>493</v>
      </c>
    </row>
    <row r="310" spans="2:10" s="1632" customFormat="1" ht="21.75" customHeight="1">
      <c r="B310" s="1645" t="s">
        <v>1889</v>
      </c>
      <c r="C310" s="1645" t="s">
        <v>1890</v>
      </c>
      <c r="D310" s="1650">
        <v>3747</v>
      </c>
      <c r="E310" s="1650">
        <v>3747</v>
      </c>
      <c r="F310" s="1655" t="s">
        <v>568</v>
      </c>
      <c r="G310" s="1656">
        <v>72</v>
      </c>
      <c r="H310" s="1652" t="s">
        <v>1891</v>
      </c>
      <c r="I310" s="1652" t="s">
        <v>568</v>
      </c>
      <c r="J310" s="1645" t="s">
        <v>493</v>
      </c>
    </row>
    <row r="311" spans="2:10" s="1632" customFormat="1" ht="21.75" customHeight="1">
      <c r="B311" s="1645" t="s">
        <v>1892</v>
      </c>
      <c r="C311" s="1645" t="s">
        <v>1893</v>
      </c>
      <c r="D311" s="1650">
        <v>2159</v>
      </c>
      <c r="E311" s="1650">
        <v>2159</v>
      </c>
      <c r="F311" s="1655" t="s">
        <v>568</v>
      </c>
      <c r="G311" s="1656">
        <v>240</v>
      </c>
      <c r="H311" s="1652" t="s">
        <v>1891</v>
      </c>
      <c r="I311" s="1652" t="s">
        <v>568</v>
      </c>
      <c r="J311" s="1645" t="s">
        <v>493</v>
      </c>
    </row>
    <row r="312" spans="2:10" s="1632" customFormat="1" ht="21.75" customHeight="1">
      <c r="B312" s="1645" t="s">
        <v>1894</v>
      </c>
      <c r="C312" s="1645" t="s">
        <v>1895</v>
      </c>
      <c r="D312" s="1650">
        <v>2163</v>
      </c>
      <c r="E312" s="1650">
        <v>2163</v>
      </c>
      <c r="F312" s="1655" t="s">
        <v>568</v>
      </c>
      <c r="G312" s="1656">
        <v>240</v>
      </c>
      <c r="H312" s="1652" t="s">
        <v>1891</v>
      </c>
      <c r="I312" s="1652" t="s">
        <v>568</v>
      </c>
      <c r="J312" s="1645" t="s">
        <v>493</v>
      </c>
    </row>
    <row r="313" spans="2:10" s="1632" customFormat="1" ht="21.75" customHeight="1">
      <c r="B313" s="1645" t="s">
        <v>1896</v>
      </c>
      <c r="C313" s="1645" t="s">
        <v>1897</v>
      </c>
      <c r="D313" s="1650">
        <v>169472</v>
      </c>
      <c r="E313" s="1650">
        <v>158498</v>
      </c>
      <c r="F313" s="1650">
        <v>10974</v>
      </c>
      <c r="G313" s="1656">
        <v>334</v>
      </c>
      <c r="H313" s="1652" t="s">
        <v>1891</v>
      </c>
      <c r="I313" s="1653">
        <v>6088.8</v>
      </c>
      <c r="J313" s="1645" t="s">
        <v>493</v>
      </c>
    </row>
    <row r="314" spans="2:10" s="1632" customFormat="1" ht="21.75" customHeight="1">
      <c r="B314" s="1645" t="s">
        <v>1898</v>
      </c>
      <c r="C314" s="1645" t="s">
        <v>1899</v>
      </c>
      <c r="D314" s="1650">
        <v>801323</v>
      </c>
      <c r="E314" s="1650">
        <v>801323</v>
      </c>
      <c r="F314" s="1655" t="s">
        <v>568</v>
      </c>
      <c r="G314" s="1656">
        <v>240</v>
      </c>
      <c r="H314" s="1652" t="s">
        <v>1891</v>
      </c>
      <c r="I314" s="1652" t="s">
        <v>568</v>
      </c>
      <c r="J314" s="1645" t="s">
        <v>493</v>
      </c>
    </row>
    <row r="315" spans="2:10" s="1632" customFormat="1" ht="21.75" customHeight="1">
      <c r="B315" s="1645" t="s">
        <v>1900</v>
      </c>
      <c r="C315" s="1645" t="s">
        <v>1901</v>
      </c>
      <c r="D315" s="1650">
        <v>161489</v>
      </c>
      <c r="E315" s="1650">
        <v>161489</v>
      </c>
      <c r="F315" s="1655" t="s">
        <v>568</v>
      </c>
      <c r="G315" s="1656">
        <v>196</v>
      </c>
      <c r="H315" s="1652" t="s">
        <v>1891</v>
      </c>
      <c r="I315" s="1652" t="s">
        <v>568</v>
      </c>
      <c r="J315" s="1645" t="s">
        <v>493</v>
      </c>
    </row>
    <row r="316" spans="2:10" s="1632" customFormat="1" ht="21.75" customHeight="1">
      <c r="B316" s="1645" t="s">
        <v>1902</v>
      </c>
      <c r="C316" s="1645" t="s">
        <v>1903</v>
      </c>
      <c r="D316" s="1650">
        <v>35340</v>
      </c>
      <c r="E316" s="1650">
        <v>35340</v>
      </c>
      <c r="F316" s="1655" t="s">
        <v>568</v>
      </c>
      <c r="G316" s="1656">
        <v>196</v>
      </c>
      <c r="H316" s="1652" t="s">
        <v>1891</v>
      </c>
      <c r="I316" s="1652" t="s">
        <v>568</v>
      </c>
      <c r="J316" s="1645" t="s">
        <v>493</v>
      </c>
    </row>
    <row r="317" spans="2:10" s="1632" customFormat="1" ht="32.25" customHeight="1">
      <c r="B317" s="1645" t="s">
        <v>1904</v>
      </c>
      <c r="C317" s="1645" t="s">
        <v>1905</v>
      </c>
      <c r="D317" s="1661">
        <v>843</v>
      </c>
      <c r="E317" s="1661">
        <v>843</v>
      </c>
      <c r="F317" s="1655" t="s">
        <v>568</v>
      </c>
      <c r="G317" s="1656">
        <v>48</v>
      </c>
      <c r="H317" s="1652" t="s">
        <v>1906</v>
      </c>
      <c r="I317" s="1652" t="s">
        <v>568</v>
      </c>
      <c r="J317" s="1645" t="s">
        <v>493</v>
      </c>
    </row>
    <row r="318" spans="2:10" s="1632" customFormat="1" ht="21.75" customHeight="1">
      <c r="B318" s="1645" t="s">
        <v>1907</v>
      </c>
      <c r="C318" s="1645" t="s">
        <v>1908</v>
      </c>
      <c r="D318" s="1650">
        <v>3144</v>
      </c>
      <c r="E318" s="1650">
        <v>3144</v>
      </c>
      <c r="F318" s="1655" t="s">
        <v>568</v>
      </c>
      <c r="G318" s="1656">
        <v>96</v>
      </c>
      <c r="H318" s="1652" t="s">
        <v>1909</v>
      </c>
      <c r="I318" s="1652" t="s">
        <v>568</v>
      </c>
      <c r="J318" s="1645" t="s">
        <v>493</v>
      </c>
    </row>
    <row r="319" spans="2:10" s="1632" customFormat="1" ht="26.25" customHeight="1">
      <c r="B319" s="1645" t="s">
        <v>1910</v>
      </c>
      <c r="C319" s="1645" t="s">
        <v>1911</v>
      </c>
      <c r="D319" s="1661">
        <v>78</v>
      </c>
      <c r="E319" s="1661">
        <v>78</v>
      </c>
      <c r="F319" s="1655" t="s">
        <v>568</v>
      </c>
      <c r="G319" s="1656">
        <v>48</v>
      </c>
      <c r="H319" s="1652" t="s">
        <v>1912</v>
      </c>
      <c r="I319" s="1652" t="s">
        <v>568</v>
      </c>
      <c r="J319" s="1645" t="s">
        <v>493</v>
      </c>
    </row>
    <row r="320" spans="2:10" s="1632" customFormat="1" ht="21.75" customHeight="1">
      <c r="B320" s="1645" t="s">
        <v>1913</v>
      </c>
      <c r="C320" s="1645" t="s">
        <v>1914</v>
      </c>
      <c r="D320" s="1650">
        <v>1748</v>
      </c>
      <c r="E320" s="1650">
        <v>1748</v>
      </c>
      <c r="F320" s="1655" t="s">
        <v>568</v>
      </c>
      <c r="G320" s="1656">
        <v>48</v>
      </c>
      <c r="H320" s="1652" t="s">
        <v>1915</v>
      </c>
      <c r="I320" s="1652" t="s">
        <v>568</v>
      </c>
      <c r="J320" s="1645" t="s">
        <v>493</v>
      </c>
    </row>
    <row r="321" spans="2:10" s="1632" customFormat="1" ht="21.75" customHeight="1">
      <c r="B321" s="1645" t="s">
        <v>1916</v>
      </c>
      <c r="C321" s="1645" t="s">
        <v>1917</v>
      </c>
      <c r="D321" s="1650">
        <v>13072</v>
      </c>
      <c r="E321" s="1650">
        <v>13072</v>
      </c>
      <c r="F321" s="1655" t="s">
        <v>568</v>
      </c>
      <c r="G321" s="1656">
        <v>189</v>
      </c>
      <c r="H321" s="1652" t="s">
        <v>1918</v>
      </c>
      <c r="I321" s="1652" t="s">
        <v>568</v>
      </c>
      <c r="J321" s="1645" t="s">
        <v>493</v>
      </c>
    </row>
    <row r="322" spans="2:10" s="1632" customFormat="1" ht="21.75" customHeight="1">
      <c r="B322" s="1645" t="s">
        <v>1919</v>
      </c>
      <c r="C322" s="1645" t="s">
        <v>1920</v>
      </c>
      <c r="D322" s="1650">
        <v>13072</v>
      </c>
      <c r="E322" s="1650">
        <v>13072</v>
      </c>
      <c r="F322" s="1655" t="s">
        <v>568</v>
      </c>
      <c r="G322" s="1656">
        <v>189</v>
      </c>
      <c r="H322" s="1652" t="s">
        <v>1918</v>
      </c>
      <c r="I322" s="1652" t="s">
        <v>568</v>
      </c>
      <c r="J322" s="1645" t="s">
        <v>493</v>
      </c>
    </row>
    <row r="323" spans="2:10" s="1632" customFormat="1" ht="21.75" customHeight="1">
      <c r="B323" s="1645" t="s">
        <v>1921</v>
      </c>
      <c r="C323" s="1658" t="s">
        <v>1922</v>
      </c>
      <c r="D323" s="1650">
        <v>7428</v>
      </c>
      <c r="E323" s="1650">
        <v>5613.8</v>
      </c>
      <c r="F323" s="1650">
        <v>1814.2</v>
      </c>
      <c r="G323" s="1656">
        <v>275</v>
      </c>
      <c r="H323" s="1652" t="s">
        <v>1918</v>
      </c>
      <c r="I323" s="1662">
        <v>324.12</v>
      </c>
      <c r="J323" s="1645" t="s">
        <v>493</v>
      </c>
    </row>
    <row r="324" spans="2:10" s="1632" customFormat="1" ht="21.75" customHeight="1">
      <c r="B324" s="1645" t="s">
        <v>1923</v>
      </c>
      <c r="C324" s="1658" t="s">
        <v>1922</v>
      </c>
      <c r="D324" s="1650">
        <v>7428</v>
      </c>
      <c r="E324" s="1650">
        <v>5613.8</v>
      </c>
      <c r="F324" s="1650">
        <v>1814.2</v>
      </c>
      <c r="G324" s="1656">
        <v>275</v>
      </c>
      <c r="H324" s="1652" t="s">
        <v>1918</v>
      </c>
      <c r="I324" s="1662">
        <v>324.12</v>
      </c>
      <c r="J324" s="1645" t="s">
        <v>493</v>
      </c>
    </row>
    <row r="325" spans="2:10" s="1632" customFormat="1" ht="21.75" customHeight="1">
      <c r="B325" s="1645" t="s">
        <v>1924</v>
      </c>
      <c r="C325" s="1658" t="s">
        <v>1922</v>
      </c>
      <c r="D325" s="1650">
        <v>7428</v>
      </c>
      <c r="E325" s="1650">
        <v>5613.8</v>
      </c>
      <c r="F325" s="1650">
        <v>1814.2</v>
      </c>
      <c r="G325" s="1656">
        <v>275</v>
      </c>
      <c r="H325" s="1652" t="s">
        <v>1918</v>
      </c>
      <c r="I325" s="1662">
        <v>324.12</v>
      </c>
      <c r="J325" s="1645" t="s">
        <v>493</v>
      </c>
    </row>
    <row r="326" spans="2:10" s="1632" customFormat="1" ht="21.75" customHeight="1">
      <c r="B326" s="1645" t="s">
        <v>1925</v>
      </c>
      <c r="C326" s="1658" t="s">
        <v>1922</v>
      </c>
      <c r="D326" s="1650">
        <v>7428</v>
      </c>
      <c r="E326" s="1650">
        <v>5613.8</v>
      </c>
      <c r="F326" s="1650">
        <v>1814.2</v>
      </c>
      <c r="G326" s="1656">
        <v>275</v>
      </c>
      <c r="H326" s="1652" t="s">
        <v>1918</v>
      </c>
      <c r="I326" s="1662">
        <v>324.12</v>
      </c>
      <c r="J326" s="1645" t="s">
        <v>493</v>
      </c>
    </row>
    <row r="327" spans="2:10" s="1632" customFormat="1" ht="21.75" customHeight="1">
      <c r="B327" s="1645" t="s">
        <v>1926</v>
      </c>
      <c r="C327" s="1658" t="s">
        <v>1922</v>
      </c>
      <c r="D327" s="1650">
        <v>7424</v>
      </c>
      <c r="E327" s="1650">
        <v>5612</v>
      </c>
      <c r="F327" s="1650">
        <v>1812</v>
      </c>
      <c r="G327" s="1656">
        <v>275</v>
      </c>
      <c r="H327" s="1652" t="s">
        <v>1918</v>
      </c>
      <c r="I327" s="1662">
        <v>324</v>
      </c>
      <c r="J327" s="1645" t="s">
        <v>493</v>
      </c>
    </row>
    <row r="328" spans="2:10" s="1632" customFormat="1" ht="21.75" customHeight="1">
      <c r="B328" s="1645" t="s">
        <v>1927</v>
      </c>
      <c r="C328" s="1658" t="s">
        <v>1922</v>
      </c>
      <c r="D328" s="1650">
        <v>7424</v>
      </c>
      <c r="E328" s="1650">
        <v>5612</v>
      </c>
      <c r="F328" s="1650">
        <v>1812</v>
      </c>
      <c r="G328" s="1656">
        <v>275</v>
      </c>
      <c r="H328" s="1652" t="s">
        <v>1918</v>
      </c>
      <c r="I328" s="1662">
        <v>324</v>
      </c>
      <c r="J328" s="1645" t="s">
        <v>493</v>
      </c>
    </row>
    <row r="329" spans="2:10" s="1632" customFormat="1" ht="21.75" customHeight="1">
      <c r="B329" s="1645" t="s">
        <v>1928</v>
      </c>
      <c r="C329" s="1658" t="s">
        <v>1922</v>
      </c>
      <c r="D329" s="1650">
        <v>7424</v>
      </c>
      <c r="E329" s="1650">
        <v>5612</v>
      </c>
      <c r="F329" s="1650">
        <v>1812</v>
      </c>
      <c r="G329" s="1656">
        <v>275</v>
      </c>
      <c r="H329" s="1652" t="s">
        <v>1918</v>
      </c>
      <c r="I329" s="1662">
        <v>324</v>
      </c>
      <c r="J329" s="1645" t="s">
        <v>493</v>
      </c>
    </row>
    <row r="330" spans="2:10" s="1632" customFormat="1" ht="21.75" customHeight="1">
      <c r="B330" s="1645" t="s">
        <v>1929</v>
      </c>
      <c r="C330" s="1645" t="s">
        <v>1930</v>
      </c>
      <c r="D330" s="1650">
        <v>5822</v>
      </c>
      <c r="E330" s="1650">
        <v>5822</v>
      </c>
      <c r="F330" s="1655" t="s">
        <v>568</v>
      </c>
      <c r="G330" s="1656">
        <v>48</v>
      </c>
      <c r="H330" s="1652" t="s">
        <v>1918</v>
      </c>
      <c r="I330" s="1652" t="s">
        <v>568</v>
      </c>
      <c r="J330" s="1645" t="s">
        <v>493</v>
      </c>
    </row>
    <row r="331" spans="2:10" s="1632" customFormat="1" ht="21.75" customHeight="1">
      <c r="B331" s="1645" t="s">
        <v>1931</v>
      </c>
      <c r="C331" s="1645" t="s">
        <v>1932</v>
      </c>
      <c r="D331" s="1650">
        <v>5822</v>
      </c>
      <c r="E331" s="1650">
        <v>5822</v>
      </c>
      <c r="F331" s="1655" t="s">
        <v>568</v>
      </c>
      <c r="G331" s="1656">
        <v>48</v>
      </c>
      <c r="H331" s="1652" t="s">
        <v>1918</v>
      </c>
      <c r="I331" s="1652" t="s">
        <v>568</v>
      </c>
      <c r="J331" s="1645" t="s">
        <v>493</v>
      </c>
    </row>
    <row r="332" spans="2:10" s="1632" customFormat="1" ht="21.75" customHeight="1">
      <c r="B332" s="1645" t="s">
        <v>1933</v>
      </c>
      <c r="C332" s="1645" t="s">
        <v>1934</v>
      </c>
      <c r="D332" s="1650">
        <v>7384</v>
      </c>
      <c r="E332" s="1650">
        <v>7384</v>
      </c>
      <c r="F332" s="1655" t="s">
        <v>568</v>
      </c>
      <c r="G332" s="1656">
        <v>72</v>
      </c>
      <c r="H332" s="1652" t="s">
        <v>1935</v>
      </c>
      <c r="I332" s="1652" t="s">
        <v>568</v>
      </c>
      <c r="J332" s="1645" t="s">
        <v>493</v>
      </c>
    </row>
    <row r="333" spans="2:10" s="1632" customFormat="1" ht="21.75" customHeight="1">
      <c r="B333" s="1645" t="s">
        <v>1936</v>
      </c>
      <c r="C333" s="1645" t="s">
        <v>1937</v>
      </c>
      <c r="D333" s="1650">
        <v>7386</v>
      </c>
      <c r="E333" s="1650">
        <v>7386</v>
      </c>
      <c r="F333" s="1655" t="s">
        <v>568</v>
      </c>
      <c r="G333" s="1656">
        <v>72</v>
      </c>
      <c r="H333" s="1652" t="s">
        <v>1935</v>
      </c>
      <c r="I333" s="1652" t="s">
        <v>568</v>
      </c>
      <c r="J333" s="1645" t="s">
        <v>493</v>
      </c>
    </row>
    <row r="334" spans="2:10" s="1632" customFormat="1" ht="21.75" customHeight="1">
      <c r="B334" s="1645" t="s">
        <v>1938</v>
      </c>
      <c r="C334" s="1658" t="s">
        <v>1939</v>
      </c>
      <c r="D334" s="1650">
        <v>9002</v>
      </c>
      <c r="E334" s="1650">
        <v>6816.6</v>
      </c>
      <c r="F334" s="1650">
        <v>2185.4</v>
      </c>
      <c r="G334" s="1656">
        <v>273</v>
      </c>
      <c r="H334" s="1652" t="s">
        <v>1940</v>
      </c>
      <c r="I334" s="1662">
        <v>395.64</v>
      </c>
      <c r="J334" s="1645" t="s">
        <v>493</v>
      </c>
    </row>
    <row r="335" spans="2:10" s="1632" customFormat="1" ht="21.75" customHeight="1">
      <c r="B335" s="1645" t="s">
        <v>1941</v>
      </c>
      <c r="C335" s="1658" t="s">
        <v>1942</v>
      </c>
      <c r="D335" s="1650">
        <v>9002</v>
      </c>
      <c r="E335" s="1650">
        <v>6816.6</v>
      </c>
      <c r="F335" s="1650">
        <v>2185.4</v>
      </c>
      <c r="G335" s="1656">
        <v>273</v>
      </c>
      <c r="H335" s="1652" t="s">
        <v>1940</v>
      </c>
      <c r="I335" s="1662">
        <v>395.64</v>
      </c>
      <c r="J335" s="1645" t="s">
        <v>493</v>
      </c>
    </row>
    <row r="336" spans="2:10" s="1632" customFormat="1" ht="21.75" customHeight="1">
      <c r="B336" s="1645" t="s">
        <v>1943</v>
      </c>
      <c r="C336" s="1658" t="s">
        <v>1944</v>
      </c>
      <c r="D336" s="1650">
        <v>9002</v>
      </c>
      <c r="E336" s="1650">
        <v>6816.6</v>
      </c>
      <c r="F336" s="1650">
        <v>2185.4</v>
      </c>
      <c r="G336" s="1656">
        <v>273</v>
      </c>
      <c r="H336" s="1652" t="s">
        <v>1940</v>
      </c>
      <c r="I336" s="1662">
        <v>395.64</v>
      </c>
      <c r="J336" s="1645" t="s">
        <v>493</v>
      </c>
    </row>
    <row r="337" spans="2:10" s="1632" customFormat="1" ht="21.75" customHeight="1">
      <c r="B337" s="1645" t="s">
        <v>1945</v>
      </c>
      <c r="C337" s="1658" t="s">
        <v>1946</v>
      </c>
      <c r="D337" s="1650">
        <v>9002</v>
      </c>
      <c r="E337" s="1650">
        <v>6816.6</v>
      </c>
      <c r="F337" s="1650">
        <v>2185.4</v>
      </c>
      <c r="G337" s="1656">
        <v>273</v>
      </c>
      <c r="H337" s="1652" t="s">
        <v>1940</v>
      </c>
      <c r="I337" s="1662">
        <v>395.64</v>
      </c>
      <c r="J337" s="1645" t="s">
        <v>493</v>
      </c>
    </row>
    <row r="338" spans="2:10" s="1632" customFormat="1" ht="25.5" customHeight="1">
      <c r="B338" s="1645" t="s">
        <v>1947</v>
      </c>
      <c r="C338" s="1658" t="s">
        <v>1948</v>
      </c>
      <c r="D338" s="1650">
        <v>49395</v>
      </c>
      <c r="E338" s="1650">
        <v>35498.4</v>
      </c>
      <c r="F338" s="1650">
        <v>13896.6</v>
      </c>
      <c r="G338" s="1656">
        <v>273</v>
      </c>
      <c r="H338" s="1652" t="s">
        <v>1940</v>
      </c>
      <c r="I338" s="1663">
        <v>2171.16</v>
      </c>
      <c r="J338" s="1645" t="s">
        <v>493</v>
      </c>
    </row>
    <row r="339" spans="2:10" s="1632" customFormat="1" ht="21.75" customHeight="1">
      <c r="B339" s="1645" t="s">
        <v>1949</v>
      </c>
      <c r="C339" s="1645" t="s">
        <v>1950</v>
      </c>
      <c r="D339" s="1650">
        <v>10099</v>
      </c>
      <c r="E339" s="1650">
        <v>10099</v>
      </c>
      <c r="F339" s="1655" t="s">
        <v>568</v>
      </c>
      <c r="G339" s="1656">
        <v>187</v>
      </c>
      <c r="H339" s="1652" t="s">
        <v>1940</v>
      </c>
      <c r="I339" s="1652" t="s">
        <v>568</v>
      </c>
      <c r="J339" s="1645" t="s">
        <v>493</v>
      </c>
    </row>
    <row r="340" spans="2:10" s="1632" customFormat="1" ht="21.75" customHeight="1">
      <c r="B340" s="1645" t="s">
        <v>1951</v>
      </c>
      <c r="C340" s="1645" t="s">
        <v>1952</v>
      </c>
      <c r="D340" s="1650">
        <v>3416</v>
      </c>
      <c r="E340" s="1650">
        <v>3416</v>
      </c>
      <c r="F340" s="1655" t="s">
        <v>568</v>
      </c>
      <c r="G340" s="1656">
        <v>122</v>
      </c>
      <c r="H340" s="1652" t="s">
        <v>1953</v>
      </c>
      <c r="I340" s="1652" t="s">
        <v>568</v>
      </c>
      <c r="J340" s="1645" t="s">
        <v>493</v>
      </c>
    </row>
    <row r="341" spans="2:10" s="1632" customFormat="1" ht="32.25" customHeight="1">
      <c r="B341" s="1645" t="s">
        <v>1954</v>
      </c>
      <c r="C341" s="1645" t="s">
        <v>1955</v>
      </c>
      <c r="D341" s="1650">
        <v>1199</v>
      </c>
      <c r="E341" s="1650">
        <v>1199</v>
      </c>
      <c r="F341" s="1655" t="s">
        <v>568</v>
      </c>
      <c r="G341" s="1656">
        <v>48</v>
      </c>
      <c r="H341" s="1652" t="s">
        <v>1956</v>
      </c>
      <c r="I341" s="1652" t="s">
        <v>568</v>
      </c>
      <c r="J341" s="1645" t="s">
        <v>493</v>
      </c>
    </row>
    <row r="342" spans="2:10" s="1632" customFormat="1" ht="32.25" customHeight="1">
      <c r="B342" s="1645" t="s">
        <v>1957</v>
      </c>
      <c r="C342" s="1645" t="s">
        <v>1958</v>
      </c>
      <c r="D342" s="1650">
        <v>1199</v>
      </c>
      <c r="E342" s="1650">
        <v>1199</v>
      </c>
      <c r="F342" s="1655" t="s">
        <v>568</v>
      </c>
      <c r="G342" s="1656">
        <v>48</v>
      </c>
      <c r="H342" s="1652" t="s">
        <v>1956</v>
      </c>
      <c r="I342" s="1652" t="s">
        <v>568</v>
      </c>
      <c r="J342" s="1645" t="s">
        <v>493</v>
      </c>
    </row>
    <row r="343" spans="2:10" s="1632" customFormat="1" ht="21.75" customHeight="1">
      <c r="B343" s="1645" t="s">
        <v>1959</v>
      </c>
      <c r="C343" s="1645" t="s">
        <v>1960</v>
      </c>
      <c r="D343" s="1650">
        <v>6134</v>
      </c>
      <c r="E343" s="1650">
        <v>6134</v>
      </c>
      <c r="F343" s="1655" t="s">
        <v>568</v>
      </c>
      <c r="G343" s="1656">
        <v>48</v>
      </c>
      <c r="H343" s="1652" t="s">
        <v>1956</v>
      </c>
      <c r="I343" s="1652" t="s">
        <v>568</v>
      </c>
      <c r="J343" s="1645" t="s">
        <v>493</v>
      </c>
    </row>
    <row r="344" spans="2:10" s="1632" customFormat="1" ht="21.75" customHeight="1">
      <c r="B344" s="1645" t="s">
        <v>1961</v>
      </c>
      <c r="C344" s="1645" t="s">
        <v>1962</v>
      </c>
      <c r="D344" s="1650">
        <v>3540000</v>
      </c>
      <c r="E344" s="1650">
        <v>3540000</v>
      </c>
      <c r="F344" s="1655" t="s">
        <v>568</v>
      </c>
      <c r="G344" s="1656">
        <v>240</v>
      </c>
      <c r="H344" s="1652" t="s">
        <v>1963</v>
      </c>
      <c r="I344" s="1652" t="s">
        <v>568</v>
      </c>
      <c r="J344" s="1645" t="s">
        <v>493</v>
      </c>
    </row>
    <row r="345" spans="2:10" s="1632" customFormat="1" ht="32.25" customHeight="1">
      <c r="B345" s="1645" t="s">
        <v>1964</v>
      </c>
      <c r="C345" s="1645" t="s">
        <v>1965</v>
      </c>
      <c r="D345" s="1650">
        <v>19044</v>
      </c>
      <c r="E345" s="1650">
        <v>19044</v>
      </c>
      <c r="F345" s="1655" t="s">
        <v>568</v>
      </c>
      <c r="G345" s="1656">
        <v>181</v>
      </c>
      <c r="H345" s="1652" t="s">
        <v>1963</v>
      </c>
      <c r="I345" s="1652" t="s">
        <v>568</v>
      </c>
      <c r="J345" s="1645" t="s">
        <v>493</v>
      </c>
    </row>
    <row r="346" spans="2:10" s="1632" customFormat="1" ht="21.75" customHeight="1">
      <c r="B346" s="1645" t="s">
        <v>1966</v>
      </c>
      <c r="C346" s="1645" t="s">
        <v>1967</v>
      </c>
      <c r="D346" s="1650">
        <v>1574</v>
      </c>
      <c r="E346" s="1650">
        <v>1574</v>
      </c>
      <c r="F346" s="1655" t="s">
        <v>568</v>
      </c>
      <c r="G346" s="1656">
        <v>48</v>
      </c>
      <c r="H346" s="1652" t="s">
        <v>1968</v>
      </c>
      <c r="I346" s="1652" t="s">
        <v>568</v>
      </c>
      <c r="J346" s="1645" t="s">
        <v>493</v>
      </c>
    </row>
    <row r="347" spans="2:10" s="1632" customFormat="1" ht="21.75" customHeight="1">
      <c r="B347" s="1645" t="s">
        <v>1969</v>
      </c>
      <c r="C347" s="1658" t="s">
        <v>1970</v>
      </c>
      <c r="D347" s="1650">
        <v>1634</v>
      </c>
      <c r="E347" s="1650">
        <v>1141.8</v>
      </c>
      <c r="F347" s="1661">
        <v>492.2</v>
      </c>
      <c r="G347" s="1656">
        <v>272</v>
      </c>
      <c r="H347" s="1652" t="s">
        <v>1971</v>
      </c>
      <c r="I347" s="1662">
        <v>72.12</v>
      </c>
      <c r="J347" s="1645" t="s">
        <v>493</v>
      </c>
    </row>
    <row r="348" spans="2:10" s="1632" customFormat="1" ht="21.75" customHeight="1">
      <c r="B348" s="1645" t="s">
        <v>1972</v>
      </c>
      <c r="C348" s="1658" t="s">
        <v>1973</v>
      </c>
      <c r="D348" s="1650">
        <v>1634</v>
      </c>
      <c r="E348" s="1650">
        <v>1141.8</v>
      </c>
      <c r="F348" s="1661">
        <v>492.2</v>
      </c>
      <c r="G348" s="1656">
        <v>272</v>
      </c>
      <c r="H348" s="1652" t="s">
        <v>1971</v>
      </c>
      <c r="I348" s="1662">
        <v>72.12</v>
      </c>
      <c r="J348" s="1645" t="s">
        <v>493</v>
      </c>
    </row>
    <row r="349" spans="2:10" s="1632" customFormat="1" ht="32.25" customHeight="1">
      <c r="B349" s="1645" t="s">
        <v>1974</v>
      </c>
      <c r="C349" s="1645" t="s">
        <v>1975</v>
      </c>
      <c r="D349" s="1661">
        <v>335</v>
      </c>
      <c r="E349" s="1661">
        <v>335</v>
      </c>
      <c r="F349" s="1655" t="s">
        <v>568</v>
      </c>
      <c r="G349" s="1656">
        <v>48</v>
      </c>
      <c r="H349" s="1652" t="s">
        <v>1976</v>
      </c>
      <c r="I349" s="1652" t="s">
        <v>568</v>
      </c>
      <c r="J349" s="1645" t="s">
        <v>493</v>
      </c>
    </row>
    <row r="350" spans="2:10" s="1632" customFormat="1" ht="32.25" customHeight="1">
      <c r="B350" s="1645" t="s">
        <v>1977</v>
      </c>
      <c r="C350" s="1645" t="s">
        <v>1975</v>
      </c>
      <c r="D350" s="1661">
        <v>335</v>
      </c>
      <c r="E350" s="1661">
        <v>335</v>
      </c>
      <c r="F350" s="1655" t="s">
        <v>568</v>
      </c>
      <c r="G350" s="1656">
        <v>48</v>
      </c>
      <c r="H350" s="1652" t="s">
        <v>1976</v>
      </c>
      <c r="I350" s="1652" t="s">
        <v>568</v>
      </c>
      <c r="J350" s="1645" t="s">
        <v>493</v>
      </c>
    </row>
    <row r="351" spans="2:10" s="1632" customFormat="1" ht="32.25" customHeight="1">
      <c r="B351" s="1645" t="s">
        <v>1978</v>
      </c>
      <c r="C351" s="1645" t="s">
        <v>1975</v>
      </c>
      <c r="D351" s="1661">
        <v>335</v>
      </c>
      <c r="E351" s="1661">
        <v>335</v>
      </c>
      <c r="F351" s="1655" t="s">
        <v>568</v>
      </c>
      <c r="G351" s="1656">
        <v>48</v>
      </c>
      <c r="H351" s="1652" t="s">
        <v>1976</v>
      </c>
      <c r="I351" s="1652" t="s">
        <v>568</v>
      </c>
      <c r="J351" s="1645" t="s">
        <v>493</v>
      </c>
    </row>
    <row r="352" spans="2:10" s="1632" customFormat="1" ht="32.25" customHeight="1">
      <c r="B352" s="1645" t="s">
        <v>1979</v>
      </c>
      <c r="C352" s="1645" t="s">
        <v>1975</v>
      </c>
      <c r="D352" s="1661">
        <v>335</v>
      </c>
      <c r="E352" s="1661">
        <v>335</v>
      </c>
      <c r="F352" s="1655" t="s">
        <v>568</v>
      </c>
      <c r="G352" s="1656">
        <v>48</v>
      </c>
      <c r="H352" s="1652" t="s">
        <v>1976</v>
      </c>
      <c r="I352" s="1652" t="s">
        <v>568</v>
      </c>
      <c r="J352" s="1645" t="s">
        <v>493</v>
      </c>
    </row>
    <row r="353" spans="2:10" s="1632" customFormat="1" ht="32.25" customHeight="1">
      <c r="B353" s="1645" t="s">
        <v>1980</v>
      </c>
      <c r="C353" s="1645" t="s">
        <v>1975</v>
      </c>
      <c r="D353" s="1661">
        <v>335</v>
      </c>
      <c r="E353" s="1661">
        <v>335</v>
      </c>
      <c r="F353" s="1655" t="s">
        <v>568</v>
      </c>
      <c r="G353" s="1656">
        <v>48</v>
      </c>
      <c r="H353" s="1652" t="s">
        <v>1976</v>
      </c>
      <c r="I353" s="1652" t="s">
        <v>568</v>
      </c>
      <c r="J353" s="1645" t="s">
        <v>493</v>
      </c>
    </row>
    <row r="354" spans="2:10" s="1632" customFormat="1" ht="32.25" customHeight="1">
      <c r="B354" s="1645" t="s">
        <v>1981</v>
      </c>
      <c r="C354" s="1645" t="s">
        <v>1975</v>
      </c>
      <c r="D354" s="1661">
        <v>335</v>
      </c>
      <c r="E354" s="1661">
        <v>335</v>
      </c>
      <c r="F354" s="1655" t="s">
        <v>568</v>
      </c>
      <c r="G354" s="1656">
        <v>48</v>
      </c>
      <c r="H354" s="1652" t="s">
        <v>1976</v>
      </c>
      <c r="I354" s="1652" t="s">
        <v>568</v>
      </c>
      <c r="J354" s="1645" t="s">
        <v>493</v>
      </c>
    </row>
    <row r="355" spans="2:10" s="1632" customFormat="1" ht="32.25" customHeight="1">
      <c r="B355" s="1645" t="s">
        <v>1982</v>
      </c>
      <c r="C355" s="1645" t="s">
        <v>1983</v>
      </c>
      <c r="D355" s="1661">
        <v>937</v>
      </c>
      <c r="E355" s="1661">
        <v>937</v>
      </c>
      <c r="F355" s="1655" t="s">
        <v>568</v>
      </c>
      <c r="G355" s="1656">
        <v>48</v>
      </c>
      <c r="H355" s="1652" t="s">
        <v>1976</v>
      </c>
      <c r="I355" s="1652" t="s">
        <v>568</v>
      </c>
      <c r="J355" s="1645" t="s">
        <v>493</v>
      </c>
    </row>
    <row r="356" spans="2:10" s="1632" customFormat="1" ht="21.75" customHeight="1">
      <c r="B356" s="1645" t="s">
        <v>1984</v>
      </c>
      <c r="C356" s="1645" t="s">
        <v>1985</v>
      </c>
      <c r="D356" s="1650">
        <v>5762</v>
      </c>
      <c r="E356" s="1650">
        <v>5762</v>
      </c>
      <c r="F356" s="1655" t="s">
        <v>568</v>
      </c>
      <c r="G356" s="1656">
        <v>48</v>
      </c>
      <c r="H356" s="1652" t="s">
        <v>1986</v>
      </c>
      <c r="I356" s="1652" t="s">
        <v>568</v>
      </c>
      <c r="J356" s="1645" t="s">
        <v>493</v>
      </c>
    </row>
    <row r="357" spans="2:10" s="1632" customFormat="1" ht="21.75" customHeight="1">
      <c r="B357" s="1645" t="s">
        <v>1987</v>
      </c>
      <c r="C357" s="1645" t="s">
        <v>1988</v>
      </c>
      <c r="D357" s="1650">
        <v>5762</v>
      </c>
      <c r="E357" s="1650">
        <v>5762</v>
      </c>
      <c r="F357" s="1655" t="s">
        <v>568</v>
      </c>
      <c r="G357" s="1656">
        <v>48</v>
      </c>
      <c r="H357" s="1652" t="s">
        <v>1986</v>
      </c>
      <c r="I357" s="1652" t="s">
        <v>568</v>
      </c>
      <c r="J357" s="1645" t="s">
        <v>493</v>
      </c>
    </row>
    <row r="358" spans="2:10" s="1632" customFormat="1" ht="21.75" customHeight="1">
      <c r="B358" s="1645" t="s">
        <v>1989</v>
      </c>
      <c r="C358" s="1645" t="s">
        <v>1990</v>
      </c>
      <c r="D358" s="1650">
        <v>5762</v>
      </c>
      <c r="E358" s="1650">
        <v>5762</v>
      </c>
      <c r="F358" s="1655" t="s">
        <v>568</v>
      </c>
      <c r="G358" s="1656">
        <v>48</v>
      </c>
      <c r="H358" s="1652" t="s">
        <v>1986</v>
      </c>
      <c r="I358" s="1652" t="s">
        <v>568</v>
      </c>
      <c r="J358" s="1645" t="s">
        <v>493</v>
      </c>
    </row>
    <row r="359" spans="2:10" s="1632" customFormat="1" ht="32.25" customHeight="1">
      <c r="B359" s="1645" t="s">
        <v>1991</v>
      </c>
      <c r="C359" s="1645" t="s">
        <v>1992</v>
      </c>
      <c r="D359" s="1661">
        <v>410</v>
      </c>
      <c r="E359" s="1661">
        <v>410</v>
      </c>
      <c r="F359" s="1655" t="s">
        <v>568</v>
      </c>
      <c r="G359" s="1656">
        <v>36</v>
      </c>
      <c r="H359" s="1652" t="s">
        <v>1993</v>
      </c>
      <c r="I359" s="1652" t="s">
        <v>568</v>
      </c>
      <c r="J359" s="1645" t="s">
        <v>493</v>
      </c>
    </row>
    <row r="360" spans="2:10" s="1632" customFormat="1" ht="32.25" customHeight="1">
      <c r="B360" s="1645" t="s">
        <v>1994</v>
      </c>
      <c r="C360" s="1645" t="s">
        <v>1992</v>
      </c>
      <c r="D360" s="1661">
        <v>410</v>
      </c>
      <c r="E360" s="1661">
        <v>410</v>
      </c>
      <c r="F360" s="1655" t="s">
        <v>568</v>
      </c>
      <c r="G360" s="1656">
        <v>36</v>
      </c>
      <c r="H360" s="1652" t="s">
        <v>1993</v>
      </c>
      <c r="I360" s="1652" t="s">
        <v>568</v>
      </c>
      <c r="J360" s="1645" t="s">
        <v>493</v>
      </c>
    </row>
    <row r="361" spans="2:10" s="1632" customFormat="1" ht="32.25" customHeight="1">
      <c r="B361" s="1645" t="s">
        <v>1995</v>
      </c>
      <c r="C361" s="1645" t="s">
        <v>1992</v>
      </c>
      <c r="D361" s="1661">
        <v>410</v>
      </c>
      <c r="E361" s="1661">
        <v>410</v>
      </c>
      <c r="F361" s="1655" t="s">
        <v>568</v>
      </c>
      <c r="G361" s="1656">
        <v>36</v>
      </c>
      <c r="H361" s="1652" t="s">
        <v>1993</v>
      </c>
      <c r="I361" s="1652" t="s">
        <v>568</v>
      </c>
      <c r="J361" s="1645" t="s">
        <v>493</v>
      </c>
    </row>
    <row r="362" spans="2:10" s="1632" customFormat="1" ht="21.75" customHeight="1">
      <c r="B362" s="1645" t="s">
        <v>1996</v>
      </c>
      <c r="C362" s="1645" t="s">
        <v>1997</v>
      </c>
      <c r="D362" s="1650">
        <v>10907</v>
      </c>
      <c r="E362" s="1650">
        <v>10907</v>
      </c>
      <c r="F362" s="1655" t="s">
        <v>568</v>
      </c>
      <c r="G362" s="1656">
        <v>133</v>
      </c>
      <c r="H362" s="1652" t="s">
        <v>1971</v>
      </c>
      <c r="I362" s="1652" t="s">
        <v>568</v>
      </c>
      <c r="J362" s="1645" t="s">
        <v>493</v>
      </c>
    </row>
    <row r="363" spans="2:10" s="1632" customFormat="1" ht="21.75" customHeight="1">
      <c r="B363" s="1645" t="s">
        <v>1998</v>
      </c>
      <c r="C363" s="1645" t="s">
        <v>1999</v>
      </c>
      <c r="D363" s="1650">
        <v>10907</v>
      </c>
      <c r="E363" s="1650">
        <v>10907</v>
      </c>
      <c r="F363" s="1655" t="s">
        <v>568</v>
      </c>
      <c r="G363" s="1656">
        <v>172</v>
      </c>
      <c r="H363" s="1652" t="s">
        <v>1971</v>
      </c>
      <c r="I363" s="1652" t="s">
        <v>568</v>
      </c>
      <c r="J363" s="1645" t="s">
        <v>493</v>
      </c>
    </row>
    <row r="364" spans="2:10" s="1632" customFormat="1" ht="21.75" customHeight="1">
      <c r="B364" s="1645" t="s">
        <v>2000</v>
      </c>
      <c r="C364" s="1645" t="s">
        <v>2001</v>
      </c>
      <c r="D364" s="1650">
        <v>4263</v>
      </c>
      <c r="E364" s="1650">
        <v>4263</v>
      </c>
      <c r="F364" s="1655" t="s">
        <v>568</v>
      </c>
      <c r="G364" s="1656">
        <v>72</v>
      </c>
      <c r="H364" s="1652" t="s">
        <v>1971</v>
      </c>
      <c r="I364" s="1652" t="s">
        <v>568</v>
      </c>
      <c r="J364" s="1645" t="s">
        <v>493</v>
      </c>
    </row>
    <row r="365" spans="2:10" s="1632" customFormat="1" ht="21.75" customHeight="1">
      <c r="B365" s="1645" t="s">
        <v>2002</v>
      </c>
      <c r="C365" s="1645" t="s">
        <v>2001</v>
      </c>
      <c r="D365" s="1650">
        <v>4263</v>
      </c>
      <c r="E365" s="1650">
        <v>4263</v>
      </c>
      <c r="F365" s="1655" t="s">
        <v>568</v>
      </c>
      <c r="G365" s="1656">
        <v>72</v>
      </c>
      <c r="H365" s="1652" t="s">
        <v>1971</v>
      </c>
      <c r="I365" s="1652" t="s">
        <v>568</v>
      </c>
      <c r="J365" s="1645" t="s">
        <v>493</v>
      </c>
    </row>
    <row r="366" spans="2:10" s="1632" customFormat="1" ht="21.75" customHeight="1">
      <c r="B366" s="1645" t="s">
        <v>2003</v>
      </c>
      <c r="C366" s="1645" t="s">
        <v>2004</v>
      </c>
      <c r="D366" s="1650">
        <v>4263</v>
      </c>
      <c r="E366" s="1650">
        <v>4263</v>
      </c>
      <c r="F366" s="1655" t="s">
        <v>568</v>
      </c>
      <c r="G366" s="1656">
        <v>72</v>
      </c>
      <c r="H366" s="1652" t="s">
        <v>1971</v>
      </c>
      <c r="I366" s="1652" t="s">
        <v>568</v>
      </c>
      <c r="J366" s="1645" t="s">
        <v>493</v>
      </c>
    </row>
    <row r="367" spans="2:10" s="1632" customFormat="1" ht="21.75" customHeight="1">
      <c r="B367" s="1645" t="s">
        <v>2005</v>
      </c>
      <c r="C367" s="1645" t="s">
        <v>2004</v>
      </c>
      <c r="D367" s="1650">
        <v>4263</v>
      </c>
      <c r="E367" s="1650">
        <v>4263</v>
      </c>
      <c r="F367" s="1655" t="s">
        <v>568</v>
      </c>
      <c r="G367" s="1656">
        <v>72</v>
      </c>
      <c r="H367" s="1652" t="s">
        <v>1971</v>
      </c>
      <c r="I367" s="1652" t="s">
        <v>568</v>
      </c>
      <c r="J367" s="1645" t="s">
        <v>493</v>
      </c>
    </row>
    <row r="368" spans="2:10" s="1632" customFormat="1" ht="21.75" customHeight="1">
      <c r="B368" s="1645" t="s">
        <v>2006</v>
      </c>
      <c r="C368" s="1645" t="s">
        <v>2004</v>
      </c>
      <c r="D368" s="1650">
        <v>4263</v>
      </c>
      <c r="E368" s="1650">
        <v>4263</v>
      </c>
      <c r="F368" s="1655" t="s">
        <v>568</v>
      </c>
      <c r="G368" s="1656">
        <v>72</v>
      </c>
      <c r="H368" s="1652" t="s">
        <v>1971</v>
      </c>
      <c r="I368" s="1652" t="s">
        <v>568</v>
      </c>
      <c r="J368" s="1645" t="s">
        <v>493</v>
      </c>
    </row>
    <row r="369" spans="2:10" s="1632" customFormat="1" ht="21.75" customHeight="1">
      <c r="B369" s="1645" t="s">
        <v>2007</v>
      </c>
      <c r="C369" s="1645" t="s">
        <v>2008</v>
      </c>
      <c r="D369" s="1650">
        <v>2768</v>
      </c>
      <c r="E369" s="1650">
        <v>2768</v>
      </c>
      <c r="F369" s="1655" t="s">
        <v>568</v>
      </c>
      <c r="G369" s="1656">
        <v>72</v>
      </c>
      <c r="H369" s="1652" t="s">
        <v>1971</v>
      </c>
      <c r="I369" s="1652" t="s">
        <v>568</v>
      </c>
      <c r="J369" s="1645" t="s">
        <v>493</v>
      </c>
    </row>
    <row r="370" spans="2:10" s="1632" customFormat="1" ht="21.75" customHeight="1">
      <c r="B370" s="1645" t="s">
        <v>2009</v>
      </c>
      <c r="C370" s="1645" t="s">
        <v>2008</v>
      </c>
      <c r="D370" s="1650">
        <v>2768</v>
      </c>
      <c r="E370" s="1650">
        <v>2768</v>
      </c>
      <c r="F370" s="1655" t="s">
        <v>568</v>
      </c>
      <c r="G370" s="1656">
        <v>72</v>
      </c>
      <c r="H370" s="1652" t="s">
        <v>1971</v>
      </c>
      <c r="I370" s="1652" t="s">
        <v>568</v>
      </c>
      <c r="J370" s="1645" t="s">
        <v>493</v>
      </c>
    </row>
    <row r="371" spans="2:10" s="1632" customFormat="1" ht="21.75" customHeight="1">
      <c r="B371" s="1645" t="s">
        <v>2010</v>
      </c>
      <c r="C371" s="1645" t="s">
        <v>2008</v>
      </c>
      <c r="D371" s="1650">
        <v>2768</v>
      </c>
      <c r="E371" s="1650">
        <v>2768</v>
      </c>
      <c r="F371" s="1655" t="s">
        <v>568</v>
      </c>
      <c r="G371" s="1656">
        <v>72</v>
      </c>
      <c r="H371" s="1652" t="s">
        <v>1971</v>
      </c>
      <c r="I371" s="1652" t="s">
        <v>568</v>
      </c>
      <c r="J371" s="1645" t="s">
        <v>493</v>
      </c>
    </row>
    <row r="372" spans="2:10" s="1632" customFormat="1" ht="21.75" customHeight="1">
      <c r="B372" s="1645" t="s">
        <v>2011</v>
      </c>
      <c r="C372" s="1645" t="s">
        <v>2008</v>
      </c>
      <c r="D372" s="1650">
        <v>2768</v>
      </c>
      <c r="E372" s="1650">
        <v>2768</v>
      </c>
      <c r="F372" s="1655" t="s">
        <v>568</v>
      </c>
      <c r="G372" s="1656">
        <v>72</v>
      </c>
      <c r="H372" s="1652" t="s">
        <v>1971</v>
      </c>
      <c r="I372" s="1652" t="s">
        <v>568</v>
      </c>
      <c r="J372" s="1645" t="s">
        <v>493</v>
      </c>
    </row>
    <row r="373" spans="2:10" s="1632" customFormat="1" ht="21.75" customHeight="1">
      <c r="B373" s="1645" t="s">
        <v>2012</v>
      </c>
      <c r="C373" s="1645" t="s">
        <v>2013</v>
      </c>
      <c r="D373" s="1650">
        <v>7105</v>
      </c>
      <c r="E373" s="1650">
        <v>7105</v>
      </c>
      <c r="F373" s="1655" t="s">
        <v>568</v>
      </c>
      <c r="G373" s="1656">
        <v>72</v>
      </c>
      <c r="H373" s="1652" t="s">
        <v>1971</v>
      </c>
      <c r="I373" s="1652" t="s">
        <v>568</v>
      </c>
      <c r="J373" s="1645" t="s">
        <v>493</v>
      </c>
    </row>
    <row r="374" spans="2:10" s="1632" customFormat="1" ht="21.75" customHeight="1">
      <c r="B374" s="1645" t="s">
        <v>2014</v>
      </c>
      <c r="C374" s="1645" t="s">
        <v>2013</v>
      </c>
      <c r="D374" s="1650">
        <v>7105</v>
      </c>
      <c r="E374" s="1650">
        <v>7105</v>
      </c>
      <c r="F374" s="1655" t="s">
        <v>568</v>
      </c>
      <c r="G374" s="1656">
        <v>72</v>
      </c>
      <c r="H374" s="1652" t="s">
        <v>1971</v>
      </c>
      <c r="I374" s="1652" t="s">
        <v>568</v>
      </c>
      <c r="J374" s="1645" t="s">
        <v>493</v>
      </c>
    </row>
    <row r="375" spans="2:10" s="1632" customFormat="1" ht="21.75" customHeight="1">
      <c r="B375" s="1645" t="s">
        <v>2015</v>
      </c>
      <c r="C375" s="1645" t="s">
        <v>2016</v>
      </c>
      <c r="D375" s="1650">
        <v>7105</v>
      </c>
      <c r="E375" s="1650">
        <v>7105</v>
      </c>
      <c r="F375" s="1655" t="s">
        <v>568</v>
      </c>
      <c r="G375" s="1656">
        <v>72</v>
      </c>
      <c r="H375" s="1652" t="s">
        <v>1971</v>
      </c>
      <c r="I375" s="1652" t="s">
        <v>568</v>
      </c>
      <c r="J375" s="1645" t="s">
        <v>493</v>
      </c>
    </row>
    <row r="376" spans="2:10" s="1632" customFormat="1" ht="21.75" customHeight="1">
      <c r="B376" s="1645" t="s">
        <v>2017</v>
      </c>
      <c r="C376" s="1645" t="s">
        <v>2018</v>
      </c>
      <c r="D376" s="1650">
        <v>6498</v>
      </c>
      <c r="E376" s="1650">
        <v>6498</v>
      </c>
      <c r="F376" s="1655" t="s">
        <v>568</v>
      </c>
      <c r="G376" s="1656">
        <v>72</v>
      </c>
      <c r="H376" s="1652" t="s">
        <v>1971</v>
      </c>
      <c r="I376" s="1652" t="s">
        <v>568</v>
      </c>
      <c r="J376" s="1645" t="s">
        <v>493</v>
      </c>
    </row>
    <row r="377" spans="2:10" s="1632" customFormat="1" ht="21.75" customHeight="1">
      <c r="B377" s="1645" t="s">
        <v>2019</v>
      </c>
      <c r="C377" s="1645" t="s">
        <v>2020</v>
      </c>
      <c r="D377" s="1650">
        <v>6498</v>
      </c>
      <c r="E377" s="1650">
        <v>6498</v>
      </c>
      <c r="F377" s="1655" t="s">
        <v>568</v>
      </c>
      <c r="G377" s="1656">
        <v>72</v>
      </c>
      <c r="H377" s="1652" t="s">
        <v>1971</v>
      </c>
      <c r="I377" s="1652" t="s">
        <v>568</v>
      </c>
      <c r="J377" s="1645" t="s">
        <v>493</v>
      </c>
    </row>
    <row r="378" spans="2:10" s="1632" customFormat="1" ht="21.75" customHeight="1">
      <c r="B378" s="1645" t="s">
        <v>2021</v>
      </c>
      <c r="C378" s="1645" t="s">
        <v>2022</v>
      </c>
      <c r="D378" s="1661">
        <v>103</v>
      </c>
      <c r="E378" s="1661">
        <v>103</v>
      </c>
      <c r="F378" s="1655" t="s">
        <v>568</v>
      </c>
      <c r="G378" s="1656">
        <v>72</v>
      </c>
      <c r="H378" s="1652" t="s">
        <v>1971</v>
      </c>
      <c r="I378" s="1652" t="s">
        <v>568</v>
      </c>
      <c r="J378" s="1645" t="s">
        <v>493</v>
      </c>
    </row>
    <row r="379" spans="2:10" s="1632" customFormat="1" ht="21.75" customHeight="1">
      <c r="B379" s="1645" t="s">
        <v>2023</v>
      </c>
      <c r="C379" s="1645" t="s">
        <v>2022</v>
      </c>
      <c r="D379" s="1661">
        <v>103</v>
      </c>
      <c r="E379" s="1661">
        <v>103</v>
      </c>
      <c r="F379" s="1655" t="s">
        <v>568</v>
      </c>
      <c r="G379" s="1656">
        <v>72</v>
      </c>
      <c r="H379" s="1652" t="s">
        <v>1971</v>
      </c>
      <c r="I379" s="1652" t="s">
        <v>568</v>
      </c>
      <c r="J379" s="1645" t="s">
        <v>493</v>
      </c>
    </row>
    <row r="380" spans="2:10" s="1632" customFormat="1" ht="21.75" customHeight="1">
      <c r="B380" s="1645" t="s">
        <v>2024</v>
      </c>
      <c r="C380" s="1645" t="s">
        <v>2022</v>
      </c>
      <c r="D380" s="1661">
        <v>103</v>
      </c>
      <c r="E380" s="1661">
        <v>103</v>
      </c>
      <c r="F380" s="1655" t="s">
        <v>568</v>
      </c>
      <c r="G380" s="1656">
        <v>72</v>
      </c>
      <c r="H380" s="1652" t="s">
        <v>1971</v>
      </c>
      <c r="I380" s="1652" t="s">
        <v>568</v>
      </c>
      <c r="J380" s="1645" t="s">
        <v>493</v>
      </c>
    </row>
    <row r="381" spans="2:10" s="1632" customFormat="1" ht="21.75" customHeight="1">
      <c r="B381" s="1645" t="s">
        <v>2025</v>
      </c>
      <c r="C381" s="1645" t="s">
        <v>2022</v>
      </c>
      <c r="D381" s="1661">
        <v>103</v>
      </c>
      <c r="E381" s="1661">
        <v>103</v>
      </c>
      <c r="F381" s="1655" t="s">
        <v>568</v>
      </c>
      <c r="G381" s="1656">
        <v>72</v>
      </c>
      <c r="H381" s="1652" t="s">
        <v>1971</v>
      </c>
      <c r="I381" s="1652" t="s">
        <v>568</v>
      </c>
      <c r="J381" s="1645" t="s">
        <v>493</v>
      </c>
    </row>
    <row r="382" spans="2:10" s="1632" customFormat="1" ht="21.75" customHeight="1">
      <c r="B382" s="1645" t="s">
        <v>2026</v>
      </c>
      <c r="C382" s="1645" t="s">
        <v>2027</v>
      </c>
      <c r="D382" s="1650">
        <v>15360</v>
      </c>
      <c r="E382" s="1650">
        <v>14299</v>
      </c>
      <c r="F382" s="1650">
        <v>1061</v>
      </c>
      <c r="G382" s="1656">
        <v>252</v>
      </c>
      <c r="H382" s="1652" t="s">
        <v>2028</v>
      </c>
      <c r="I382" s="1654">
        <v>731.4</v>
      </c>
      <c r="J382" s="1645" t="s">
        <v>493</v>
      </c>
    </row>
    <row r="383" spans="2:10" s="1632" customFormat="1" ht="21.75" customHeight="1">
      <c r="B383" s="1645" t="s">
        <v>2029</v>
      </c>
      <c r="C383" s="1645" t="s">
        <v>2030</v>
      </c>
      <c r="D383" s="1650">
        <v>1832</v>
      </c>
      <c r="E383" s="1650">
        <v>1832</v>
      </c>
      <c r="F383" s="1655" t="s">
        <v>568</v>
      </c>
      <c r="G383" s="1656">
        <v>108</v>
      </c>
      <c r="H383" s="1652" t="s">
        <v>2031</v>
      </c>
      <c r="I383" s="1652" t="s">
        <v>568</v>
      </c>
      <c r="J383" s="1645" t="s">
        <v>493</v>
      </c>
    </row>
    <row r="384" spans="2:10" s="1632" customFormat="1" ht="21.75" customHeight="1">
      <c r="B384" s="1645" t="s">
        <v>2032</v>
      </c>
      <c r="C384" s="1645" t="s">
        <v>2033</v>
      </c>
      <c r="D384" s="1650">
        <v>1832</v>
      </c>
      <c r="E384" s="1650">
        <v>1832</v>
      </c>
      <c r="F384" s="1655" t="s">
        <v>568</v>
      </c>
      <c r="G384" s="1656">
        <v>108</v>
      </c>
      <c r="H384" s="1652" t="s">
        <v>2031</v>
      </c>
      <c r="I384" s="1652" t="s">
        <v>568</v>
      </c>
      <c r="J384" s="1645" t="s">
        <v>493</v>
      </c>
    </row>
    <row r="385" spans="2:10" s="1632" customFormat="1" ht="21.75" customHeight="1">
      <c r="B385" s="1645" t="s">
        <v>2034</v>
      </c>
      <c r="C385" s="1645" t="s">
        <v>2035</v>
      </c>
      <c r="D385" s="1650">
        <v>1628</v>
      </c>
      <c r="E385" s="1650">
        <v>1628</v>
      </c>
      <c r="F385" s="1655" t="s">
        <v>568</v>
      </c>
      <c r="G385" s="1656">
        <v>109</v>
      </c>
      <c r="H385" s="1652" t="s">
        <v>2031</v>
      </c>
      <c r="I385" s="1652" t="s">
        <v>568</v>
      </c>
      <c r="J385" s="1645" t="s">
        <v>493</v>
      </c>
    </row>
    <row r="386" spans="2:10" s="1632" customFormat="1" ht="21.75" customHeight="1">
      <c r="B386" s="1645" t="s">
        <v>2036</v>
      </c>
      <c r="C386" s="1645" t="s">
        <v>2035</v>
      </c>
      <c r="D386" s="1650">
        <v>1628</v>
      </c>
      <c r="E386" s="1650">
        <v>1628</v>
      </c>
      <c r="F386" s="1655" t="s">
        <v>568</v>
      </c>
      <c r="G386" s="1656">
        <v>109</v>
      </c>
      <c r="H386" s="1652" t="s">
        <v>2031</v>
      </c>
      <c r="I386" s="1652" t="s">
        <v>568</v>
      </c>
      <c r="J386" s="1645" t="s">
        <v>493</v>
      </c>
    </row>
    <row r="387" spans="2:10" s="1632" customFormat="1" ht="21.75" customHeight="1">
      <c r="B387" s="1645" t="s">
        <v>2037</v>
      </c>
      <c r="C387" s="1645" t="s">
        <v>2038</v>
      </c>
      <c r="D387" s="1650">
        <v>1948</v>
      </c>
      <c r="E387" s="1650">
        <v>1948</v>
      </c>
      <c r="F387" s="1655" t="s">
        <v>568</v>
      </c>
      <c r="G387" s="1656">
        <v>108</v>
      </c>
      <c r="H387" s="1652" t="s">
        <v>2031</v>
      </c>
      <c r="I387" s="1652" t="s">
        <v>568</v>
      </c>
      <c r="J387" s="1645" t="s">
        <v>493</v>
      </c>
    </row>
    <row r="388" spans="2:10" s="1632" customFormat="1" ht="21.75" customHeight="1">
      <c r="B388" s="1645" t="s">
        <v>2039</v>
      </c>
      <c r="C388" s="1645" t="s">
        <v>2040</v>
      </c>
      <c r="D388" s="1650">
        <v>1948</v>
      </c>
      <c r="E388" s="1650">
        <v>1948</v>
      </c>
      <c r="F388" s="1655" t="s">
        <v>568</v>
      </c>
      <c r="G388" s="1656">
        <v>108</v>
      </c>
      <c r="H388" s="1652" t="s">
        <v>2031</v>
      </c>
      <c r="I388" s="1652" t="s">
        <v>568</v>
      </c>
      <c r="J388" s="1645" t="s">
        <v>493</v>
      </c>
    </row>
    <row r="389" spans="2:10" s="1632" customFormat="1" ht="21.75" customHeight="1">
      <c r="B389" s="1645" t="s">
        <v>2041</v>
      </c>
      <c r="C389" s="1645" t="s">
        <v>2042</v>
      </c>
      <c r="D389" s="1650">
        <v>3847</v>
      </c>
      <c r="E389" s="1650">
        <v>3847</v>
      </c>
      <c r="F389" s="1655" t="s">
        <v>568</v>
      </c>
      <c r="G389" s="1656">
        <v>107</v>
      </c>
      <c r="H389" s="1652" t="s">
        <v>2031</v>
      </c>
      <c r="I389" s="1652" t="s">
        <v>568</v>
      </c>
      <c r="J389" s="1645" t="s">
        <v>493</v>
      </c>
    </row>
    <row r="390" spans="2:10" s="1632" customFormat="1" ht="21.75" customHeight="1">
      <c r="B390" s="1645" t="s">
        <v>2043</v>
      </c>
      <c r="C390" s="1645" t="s">
        <v>2042</v>
      </c>
      <c r="D390" s="1650">
        <v>3847</v>
      </c>
      <c r="E390" s="1650">
        <v>3847</v>
      </c>
      <c r="F390" s="1655" t="s">
        <v>568</v>
      </c>
      <c r="G390" s="1656">
        <v>107</v>
      </c>
      <c r="H390" s="1652" t="s">
        <v>2031</v>
      </c>
      <c r="I390" s="1652" t="s">
        <v>568</v>
      </c>
      <c r="J390" s="1645" t="s">
        <v>493</v>
      </c>
    </row>
    <row r="391" spans="2:10" s="1632" customFormat="1" ht="21.75" customHeight="1">
      <c r="B391" s="1645" t="s">
        <v>2044</v>
      </c>
      <c r="C391" s="1645" t="s">
        <v>2045</v>
      </c>
      <c r="D391" s="1661">
        <v>179</v>
      </c>
      <c r="E391" s="1661">
        <v>179</v>
      </c>
      <c r="F391" s="1655" t="s">
        <v>568</v>
      </c>
      <c r="G391" s="1656">
        <v>72</v>
      </c>
      <c r="H391" s="1652" t="s">
        <v>2031</v>
      </c>
      <c r="I391" s="1652" t="s">
        <v>568</v>
      </c>
      <c r="J391" s="1645" t="s">
        <v>493</v>
      </c>
    </row>
    <row r="392" spans="2:10" s="1632" customFormat="1" ht="21.75" customHeight="1">
      <c r="B392" s="1645" t="s">
        <v>2046</v>
      </c>
      <c r="C392" s="1645" t="s">
        <v>2045</v>
      </c>
      <c r="D392" s="1661">
        <v>179</v>
      </c>
      <c r="E392" s="1661">
        <v>179</v>
      </c>
      <c r="F392" s="1655" t="s">
        <v>568</v>
      </c>
      <c r="G392" s="1656">
        <v>72</v>
      </c>
      <c r="H392" s="1652" t="s">
        <v>2031</v>
      </c>
      <c r="I392" s="1652" t="s">
        <v>568</v>
      </c>
      <c r="J392" s="1645" t="s">
        <v>493</v>
      </c>
    </row>
    <row r="393" spans="2:10" s="1632" customFormat="1" ht="21.75" customHeight="1">
      <c r="B393" s="1645" t="s">
        <v>2047</v>
      </c>
      <c r="C393" s="1645" t="s">
        <v>2045</v>
      </c>
      <c r="D393" s="1661">
        <v>179</v>
      </c>
      <c r="E393" s="1661">
        <v>179</v>
      </c>
      <c r="F393" s="1655" t="s">
        <v>568</v>
      </c>
      <c r="G393" s="1656">
        <v>72</v>
      </c>
      <c r="H393" s="1652" t="s">
        <v>2031</v>
      </c>
      <c r="I393" s="1652" t="s">
        <v>568</v>
      </c>
      <c r="J393" s="1645" t="s">
        <v>493</v>
      </c>
    </row>
    <row r="394" spans="2:10" s="1632" customFormat="1" ht="21.75" customHeight="1">
      <c r="B394" s="1645" t="s">
        <v>2048</v>
      </c>
      <c r="C394" s="1645" t="s">
        <v>2045</v>
      </c>
      <c r="D394" s="1661">
        <v>179</v>
      </c>
      <c r="E394" s="1661">
        <v>179</v>
      </c>
      <c r="F394" s="1655" t="s">
        <v>568</v>
      </c>
      <c r="G394" s="1656">
        <v>72</v>
      </c>
      <c r="H394" s="1652" t="s">
        <v>2031</v>
      </c>
      <c r="I394" s="1652" t="s">
        <v>568</v>
      </c>
      <c r="J394" s="1645" t="s">
        <v>493</v>
      </c>
    </row>
    <row r="395" spans="2:10" s="1632" customFormat="1" ht="21.75" customHeight="1">
      <c r="B395" s="1645" t="s">
        <v>2049</v>
      </c>
      <c r="C395" s="1645" t="s">
        <v>2045</v>
      </c>
      <c r="D395" s="1661">
        <v>179</v>
      </c>
      <c r="E395" s="1661">
        <v>179</v>
      </c>
      <c r="F395" s="1655" t="s">
        <v>568</v>
      </c>
      <c r="G395" s="1656">
        <v>72</v>
      </c>
      <c r="H395" s="1652" t="s">
        <v>2031</v>
      </c>
      <c r="I395" s="1652" t="s">
        <v>568</v>
      </c>
      <c r="J395" s="1645" t="s">
        <v>493</v>
      </c>
    </row>
    <row r="396" spans="2:10" s="1632" customFormat="1" ht="21.75" customHeight="1">
      <c r="B396" s="1645" t="s">
        <v>2050</v>
      </c>
      <c r="C396" s="1645" t="s">
        <v>2045</v>
      </c>
      <c r="D396" s="1661">
        <v>179</v>
      </c>
      <c r="E396" s="1661">
        <v>179</v>
      </c>
      <c r="F396" s="1655" t="s">
        <v>568</v>
      </c>
      <c r="G396" s="1656">
        <v>72</v>
      </c>
      <c r="H396" s="1652" t="s">
        <v>2031</v>
      </c>
      <c r="I396" s="1652" t="s">
        <v>568</v>
      </c>
      <c r="J396" s="1645" t="s">
        <v>493</v>
      </c>
    </row>
    <row r="397" spans="2:10" s="1632" customFormat="1" ht="21.75" customHeight="1">
      <c r="B397" s="1645" t="s">
        <v>2051</v>
      </c>
      <c r="C397" s="1645" t="s">
        <v>2045</v>
      </c>
      <c r="D397" s="1661">
        <v>179</v>
      </c>
      <c r="E397" s="1661">
        <v>179</v>
      </c>
      <c r="F397" s="1655" t="s">
        <v>568</v>
      </c>
      <c r="G397" s="1656">
        <v>72</v>
      </c>
      <c r="H397" s="1652" t="s">
        <v>2031</v>
      </c>
      <c r="I397" s="1652" t="s">
        <v>568</v>
      </c>
      <c r="J397" s="1645" t="s">
        <v>493</v>
      </c>
    </row>
    <row r="398" spans="2:10" s="1632" customFormat="1" ht="21.75" customHeight="1">
      <c r="B398" s="1645" t="s">
        <v>2052</v>
      </c>
      <c r="C398" s="1645" t="s">
        <v>2045</v>
      </c>
      <c r="D398" s="1661">
        <v>179</v>
      </c>
      <c r="E398" s="1661">
        <v>179</v>
      </c>
      <c r="F398" s="1655" t="s">
        <v>568</v>
      </c>
      <c r="G398" s="1656">
        <v>72</v>
      </c>
      <c r="H398" s="1652" t="s">
        <v>2031</v>
      </c>
      <c r="I398" s="1652" t="s">
        <v>568</v>
      </c>
      <c r="J398" s="1645" t="s">
        <v>493</v>
      </c>
    </row>
    <row r="399" spans="2:10" s="1632" customFormat="1" ht="21.75" customHeight="1">
      <c r="B399" s="1645" t="s">
        <v>2053</v>
      </c>
      <c r="C399" s="1645" t="s">
        <v>2054</v>
      </c>
      <c r="D399" s="1661">
        <v>7</v>
      </c>
      <c r="E399" s="1661">
        <v>7</v>
      </c>
      <c r="F399" s="1655" t="s">
        <v>568</v>
      </c>
      <c r="G399" s="1656">
        <v>72</v>
      </c>
      <c r="H399" s="1652" t="s">
        <v>2031</v>
      </c>
      <c r="I399" s="1652" t="s">
        <v>568</v>
      </c>
      <c r="J399" s="1645" t="s">
        <v>493</v>
      </c>
    </row>
    <row r="400" spans="2:10" s="1632" customFormat="1" ht="21.75" customHeight="1">
      <c r="B400" s="1645" t="s">
        <v>2055</v>
      </c>
      <c r="C400" s="1645" t="s">
        <v>2056</v>
      </c>
      <c r="D400" s="1661">
        <v>7</v>
      </c>
      <c r="E400" s="1661">
        <v>7</v>
      </c>
      <c r="F400" s="1655" t="s">
        <v>568</v>
      </c>
      <c r="G400" s="1656">
        <v>72</v>
      </c>
      <c r="H400" s="1652" t="s">
        <v>2031</v>
      </c>
      <c r="I400" s="1652" t="s">
        <v>568</v>
      </c>
      <c r="J400" s="1645" t="s">
        <v>493</v>
      </c>
    </row>
    <row r="401" spans="2:10" s="1632" customFormat="1" ht="21.75" customHeight="1">
      <c r="B401" s="1645" t="s">
        <v>2057</v>
      </c>
      <c r="C401" s="1645" t="s">
        <v>2056</v>
      </c>
      <c r="D401" s="1661">
        <v>7</v>
      </c>
      <c r="E401" s="1661">
        <v>7</v>
      </c>
      <c r="F401" s="1655" t="s">
        <v>568</v>
      </c>
      <c r="G401" s="1656">
        <v>72</v>
      </c>
      <c r="H401" s="1652" t="s">
        <v>2031</v>
      </c>
      <c r="I401" s="1652" t="s">
        <v>568</v>
      </c>
      <c r="J401" s="1645" t="s">
        <v>493</v>
      </c>
    </row>
    <row r="402" spans="2:10" s="1632" customFormat="1" ht="21.75" customHeight="1">
      <c r="B402" s="1645" t="s">
        <v>2058</v>
      </c>
      <c r="C402" s="1645" t="s">
        <v>2056</v>
      </c>
      <c r="D402" s="1661">
        <v>7</v>
      </c>
      <c r="E402" s="1661">
        <v>7</v>
      </c>
      <c r="F402" s="1655" t="s">
        <v>568</v>
      </c>
      <c r="G402" s="1656">
        <v>72</v>
      </c>
      <c r="H402" s="1652" t="s">
        <v>2031</v>
      </c>
      <c r="I402" s="1652" t="s">
        <v>568</v>
      </c>
      <c r="J402" s="1645" t="s">
        <v>493</v>
      </c>
    </row>
    <row r="403" spans="2:10" s="1632" customFormat="1" ht="21.75" customHeight="1">
      <c r="B403" s="1645" t="s">
        <v>2059</v>
      </c>
      <c r="C403" s="1645" t="s">
        <v>2060</v>
      </c>
      <c r="D403" s="1661">
        <v>7</v>
      </c>
      <c r="E403" s="1661">
        <v>7</v>
      </c>
      <c r="F403" s="1655" t="s">
        <v>568</v>
      </c>
      <c r="G403" s="1656">
        <v>72</v>
      </c>
      <c r="H403" s="1652" t="s">
        <v>2031</v>
      </c>
      <c r="I403" s="1652" t="s">
        <v>568</v>
      </c>
      <c r="J403" s="1645" t="s">
        <v>493</v>
      </c>
    </row>
    <row r="404" spans="2:10" s="1632" customFormat="1" ht="27.75" customHeight="1">
      <c r="B404" s="1645" t="s">
        <v>2061</v>
      </c>
      <c r="C404" s="1658" t="s">
        <v>2062</v>
      </c>
      <c r="D404" s="1650">
        <v>63579</v>
      </c>
      <c r="E404" s="1650">
        <v>51336.2</v>
      </c>
      <c r="F404" s="1650">
        <v>12242.8</v>
      </c>
      <c r="G404" s="1656">
        <v>273</v>
      </c>
      <c r="H404" s="1652" t="s">
        <v>2063</v>
      </c>
      <c r="I404" s="1663">
        <v>2794.68</v>
      </c>
      <c r="J404" s="1645" t="s">
        <v>493</v>
      </c>
    </row>
    <row r="405" spans="2:10" s="1632" customFormat="1" ht="21.75" customHeight="1">
      <c r="B405" s="1645" t="s">
        <v>2064</v>
      </c>
      <c r="C405" s="1645" t="s">
        <v>2065</v>
      </c>
      <c r="D405" s="1650">
        <v>14649</v>
      </c>
      <c r="E405" s="1650">
        <v>14649</v>
      </c>
      <c r="F405" s="1655" t="s">
        <v>568</v>
      </c>
      <c r="G405" s="1656">
        <v>179</v>
      </c>
      <c r="H405" s="1652" t="s">
        <v>2066</v>
      </c>
      <c r="I405" s="1652" t="s">
        <v>568</v>
      </c>
      <c r="J405" s="1645" t="s">
        <v>493</v>
      </c>
    </row>
    <row r="406" spans="2:10" s="1632" customFormat="1" ht="21.75" customHeight="1">
      <c r="B406" s="1645" t="s">
        <v>2067</v>
      </c>
      <c r="C406" s="1645" t="s">
        <v>2068</v>
      </c>
      <c r="D406" s="1650">
        <v>37685900</v>
      </c>
      <c r="E406" s="1650">
        <v>27994946.92</v>
      </c>
      <c r="F406" s="1650">
        <v>9690953.08</v>
      </c>
      <c r="G406" s="1656">
        <v>240</v>
      </c>
      <c r="H406" s="1652" t="s">
        <v>2066</v>
      </c>
      <c r="I406" s="1653">
        <v>1895008.74</v>
      </c>
      <c r="J406" s="1645" t="s">
        <v>493</v>
      </c>
    </row>
    <row r="407" spans="2:10" s="1632" customFormat="1" ht="21.75" customHeight="1">
      <c r="B407" s="1645" t="s">
        <v>2069</v>
      </c>
      <c r="C407" s="1645" t="s">
        <v>2070</v>
      </c>
      <c r="D407" s="1650">
        <v>100366</v>
      </c>
      <c r="E407" s="1650">
        <v>93798</v>
      </c>
      <c r="F407" s="1650">
        <v>6568</v>
      </c>
      <c r="G407" s="1656">
        <v>179</v>
      </c>
      <c r="H407" s="1652" t="s">
        <v>2071</v>
      </c>
      <c r="I407" s="1653">
        <v>6728.4</v>
      </c>
      <c r="J407" s="1645" t="s">
        <v>493</v>
      </c>
    </row>
    <row r="408" spans="2:10" s="1632" customFormat="1" ht="21.75" customHeight="1">
      <c r="B408" s="1645" t="s">
        <v>2072</v>
      </c>
      <c r="C408" s="1645" t="s">
        <v>2073</v>
      </c>
      <c r="D408" s="1650">
        <v>100366</v>
      </c>
      <c r="E408" s="1650">
        <v>93798</v>
      </c>
      <c r="F408" s="1650">
        <v>6568</v>
      </c>
      <c r="G408" s="1656">
        <v>179</v>
      </c>
      <c r="H408" s="1652" t="s">
        <v>2071</v>
      </c>
      <c r="I408" s="1653">
        <v>6728.4</v>
      </c>
      <c r="J408" s="1645" t="s">
        <v>493</v>
      </c>
    </row>
    <row r="409" spans="2:10" s="1632" customFormat="1" ht="21.75" customHeight="1">
      <c r="B409" s="1645" t="s">
        <v>2074</v>
      </c>
      <c r="C409" s="1645" t="s">
        <v>2075</v>
      </c>
      <c r="D409" s="1650">
        <v>28072</v>
      </c>
      <c r="E409" s="1650">
        <v>28072</v>
      </c>
      <c r="F409" s="1655" t="s">
        <v>568</v>
      </c>
      <c r="G409" s="1656">
        <v>108</v>
      </c>
      <c r="H409" s="1652" t="s">
        <v>2076</v>
      </c>
      <c r="I409" s="1652" t="s">
        <v>568</v>
      </c>
      <c r="J409" s="1645" t="s">
        <v>493</v>
      </c>
    </row>
    <row r="410" spans="2:10" s="1632" customFormat="1" ht="21.75" customHeight="1">
      <c r="B410" s="1645" t="s">
        <v>2077</v>
      </c>
      <c r="C410" s="1645" t="s">
        <v>2078</v>
      </c>
      <c r="D410" s="1650">
        <v>28073</v>
      </c>
      <c r="E410" s="1650">
        <v>28073</v>
      </c>
      <c r="F410" s="1655" t="s">
        <v>568</v>
      </c>
      <c r="G410" s="1656">
        <v>108</v>
      </c>
      <c r="H410" s="1652" t="s">
        <v>2076</v>
      </c>
      <c r="I410" s="1652" t="s">
        <v>568</v>
      </c>
      <c r="J410" s="1645" t="s">
        <v>493</v>
      </c>
    </row>
    <row r="411" spans="2:10" s="1632" customFormat="1" ht="21.75" customHeight="1">
      <c r="B411" s="1645" t="s">
        <v>2079</v>
      </c>
      <c r="C411" s="1645" t="s">
        <v>2080</v>
      </c>
      <c r="D411" s="1650">
        <v>25699</v>
      </c>
      <c r="E411" s="1650">
        <v>15803.2</v>
      </c>
      <c r="F411" s="1650">
        <v>9895.8</v>
      </c>
      <c r="G411" s="1656">
        <v>273</v>
      </c>
      <c r="H411" s="1652" t="s">
        <v>2076</v>
      </c>
      <c r="I411" s="1653">
        <v>1129.68</v>
      </c>
      <c r="J411" s="1645" t="s">
        <v>493</v>
      </c>
    </row>
    <row r="412" spans="2:10" s="1632" customFormat="1" ht="21.75" customHeight="1">
      <c r="B412" s="1645" t="s">
        <v>2081</v>
      </c>
      <c r="C412" s="1645" t="s">
        <v>2082</v>
      </c>
      <c r="D412" s="1650">
        <v>6787</v>
      </c>
      <c r="E412" s="1650">
        <v>6787</v>
      </c>
      <c r="F412" s="1655" t="s">
        <v>568</v>
      </c>
      <c r="G412" s="1656">
        <v>108</v>
      </c>
      <c r="H412" s="1652" t="s">
        <v>2083</v>
      </c>
      <c r="I412" s="1652" t="s">
        <v>568</v>
      </c>
      <c r="J412" s="1645" t="s">
        <v>493</v>
      </c>
    </row>
    <row r="413" spans="2:10" s="1632" customFormat="1" ht="21.75" customHeight="1">
      <c r="B413" s="1645" t="s">
        <v>2084</v>
      </c>
      <c r="C413" s="1645" t="s">
        <v>2085</v>
      </c>
      <c r="D413" s="1650">
        <v>9157</v>
      </c>
      <c r="E413" s="1650">
        <v>9157</v>
      </c>
      <c r="F413" s="1655" t="s">
        <v>568</v>
      </c>
      <c r="G413" s="1656">
        <v>108</v>
      </c>
      <c r="H413" s="1652" t="s">
        <v>2083</v>
      </c>
      <c r="I413" s="1652" t="s">
        <v>568</v>
      </c>
      <c r="J413" s="1645" t="s">
        <v>493</v>
      </c>
    </row>
    <row r="414" spans="2:10" s="1632" customFormat="1" ht="21.75" customHeight="1">
      <c r="B414" s="1645" t="s">
        <v>2086</v>
      </c>
      <c r="C414" s="1645" t="s">
        <v>2087</v>
      </c>
      <c r="D414" s="1650">
        <v>8313</v>
      </c>
      <c r="E414" s="1650">
        <v>8313</v>
      </c>
      <c r="F414" s="1655" t="s">
        <v>568</v>
      </c>
      <c r="G414" s="1656">
        <v>108</v>
      </c>
      <c r="H414" s="1652" t="s">
        <v>2088</v>
      </c>
      <c r="I414" s="1652" t="s">
        <v>568</v>
      </c>
      <c r="J414" s="1645" t="s">
        <v>493</v>
      </c>
    </row>
    <row r="415" spans="2:10" s="1632" customFormat="1" ht="21.75" customHeight="1">
      <c r="B415" s="1645" t="s">
        <v>2089</v>
      </c>
      <c r="C415" s="1645" t="s">
        <v>2090</v>
      </c>
      <c r="D415" s="1650">
        <v>731503</v>
      </c>
      <c r="E415" s="1650">
        <v>731503</v>
      </c>
      <c r="F415" s="1655" t="s">
        <v>568</v>
      </c>
      <c r="G415" s="1656">
        <v>109</v>
      </c>
      <c r="H415" s="1652" t="s">
        <v>2091</v>
      </c>
      <c r="I415" s="1652" t="s">
        <v>568</v>
      </c>
      <c r="J415" s="1645" t="s">
        <v>493</v>
      </c>
    </row>
    <row r="416" spans="2:10" s="1632" customFormat="1" ht="21.75" customHeight="1">
      <c r="B416" s="1645" t="s">
        <v>2092</v>
      </c>
      <c r="C416" s="1658" t="s">
        <v>2093</v>
      </c>
      <c r="D416" s="1650">
        <v>7147</v>
      </c>
      <c r="E416" s="1650">
        <v>3925.2</v>
      </c>
      <c r="F416" s="1650">
        <v>3221.8</v>
      </c>
      <c r="G416" s="1656">
        <v>275</v>
      </c>
      <c r="H416" s="1652" t="s">
        <v>2094</v>
      </c>
      <c r="I416" s="1662">
        <v>311.88</v>
      </c>
      <c r="J416" s="1645" t="s">
        <v>493</v>
      </c>
    </row>
    <row r="417" spans="2:10" s="1632" customFormat="1" ht="21.75" customHeight="1">
      <c r="B417" s="1645" t="s">
        <v>2095</v>
      </c>
      <c r="C417" s="1658" t="s">
        <v>2096</v>
      </c>
      <c r="D417" s="1650">
        <v>7148</v>
      </c>
      <c r="E417" s="1650">
        <v>3925.2</v>
      </c>
      <c r="F417" s="1650">
        <v>3222.8</v>
      </c>
      <c r="G417" s="1656">
        <v>275</v>
      </c>
      <c r="H417" s="1652" t="s">
        <v>2094</v>
      </c>
      <c r="I417" s="1662">
        <v>311.88</v>
      </c>
      <c r="J417" s="1645" t="s">
        <v>493</v>
      </c>
    </row>
    <row r="418" spans="2:10" s="1632" customFormat="1" ht="21.75" customHeight="1">
      <c r="B418" s="1645" t="s">
        <v>2097</v>
      </c>
      <c r="C418" s="1645" t="s">
        <v>2098</v>
      </c>
      <c r="D418" s="1650">
        <v>9800</v>
      </c>
      <c r="E418" s="1650">
        <v>9800</v>
      </c>
      <c r="F418" s="1655" t="s">
        <v>568</v>
      </c>
      <c r="G418" s="1656">
        <v>108</v>
      </c>
      <c r="H418" s="1652" t="s">
        <v>2094</v>
      </c>
      <c r="I418" s="1652" t="s">
        <v>568</v>
      </c>
      <c r="J418" s="1645" t="s">
        <v>493</v>
      </c>
    </row>
    <row r="419" spans="2:10" s="1632" customFormat="1" ht="21.75" customHeight="1">
      <c r="B419" s="1645" t="s">
        <v>2099</v>
      </c>
      <c r="C419" s="1645" t="s">
        <v>2100</v>
      </c>
      <c r="D419" s="1661">
        <v>453</v>
      </c>
      <c r="E419" s="1661">
        <v>302</v>
      </c>
      <c r="F419" s="1661">
        <v>151</v>
      </c>
      <c r="G419" s="1656">
        <v>227</v>
      </c>
      <c r="H419" s="1652" t="s">
        <v>2094</v>
      </c>
      <c r="I419" s="1654">
        <v>24</v>
      </c>
      <c r="J419" s="1645" t="s">
        <v>493</v>
      </c>
    </row>
    <row r="420" spans="2:10" s="1632" customFormat="1" ht="21.75" customHeight="1">
      <c r="B420" s="1645" t="s">
        <v>2101</v>
      </c>
      <c r="C420" s="1645" t="s">
        <v>2100</v>
      </c>
      <c r="D420" s="1661">
        <v>453</v>
      </c>
      <c r="E420" s="1661">
        <v>302</v>
      </c>
      <c r="F420" s="1661">
        <v>151</v>
      </c>
      <c r="G420" s="1656">
        <v>227</v>
      </c>
      <c r="H420" s="1652" t="s">
        <v>2094</v>
      </c>
      <c r="I420" s="1654">
        <v>24</v>
      </c>
      <c r="J420" s="1645" t="s">
        <v>493</v>
      </c>
    </row>
    <row r="421" spans="2:10" s="1632" customFormat="1" ht="21.75" customHeight="1">
      <c r="B421" s="1645" t="s">
        <v>2102</v>
      </c>
      <c r="C421" s="1645" t="s">
        <v>2100</v>
      </c>
      <c r="D421" s="1661">
        <v>453</v>
      </c>
      <c r="E421" s="1661">
        <v>302</v>
      </c>
      <c r="F421" s="1661">
        <v>151</v>
      </c>
      <c r="G421" s="1656">
        <v>227</v>
      </c>
      <c r="H421" s="1652" t="s">
        <v>2094</v>
      </c>
      <c r="I421" s="1654">
        <v>24</v>
      </c>
      <c r="J421" s="1645" t="s">
        <v>493</v>
      </c>
    </row>
    <row r="422" spans="2:10" s="1632" customFormat="1" ht="21.75" customHeight="1">
      <c r="B422" s="1645" t="s">
        <v>2103</v>
      </c>
      <c r="C422" s="1645" t="s">
        <v>2100</v>
      </c>
      <c r="D422" s="1661">
        <v>454</v>
      </c>
      <c r="E422" s="1661">
        <v>302</v>
      </c>
      <c r="F422" s="1661">
        <v>152</v>
      </c>
      <c r="G422" s="1656">
        <v>227</v>
      </c>
      <c r="H422" s="1652" t="s">
        <v>2094</v>
      </c>
      <c r="I422" s="1654">
        <v>24</v>
      </c>
      <c r="J422" s="1645" t="s">
        <v>493</v>
      </c>
    </row>
    <row r="423" spans="2:10" s="1632" customFormat="1" ht="21.75" customHeight="1">
      <c r="B423" s="1645" t="s">
        <v>2104</v>
      </c>
      <c r="C423" s="1645" t="s">
        <v>2100</v>
      </c>
      <c r="D423" s="1661">
        <v>454</v>
      </c>
      <c r="E423" s="1661">
        <v>302</v>
      </c>
      <c r="F423" s="1661">
        <v>152</v>
      </c>
      <c r="G423" s="1656">
        <v>227</v>
      </c>
      <c r="H423" s="1652" t="s">
        <v>2094</v>
      </c>
      <c r="I423" s="1654">
        <v>24</v>
      </c>
      <c r="J423" s="1645" t="s">
        <v>493</v>
      </c>
    </row>
    <row r="424" spans="2:10" s="1632" customFormat="1" ht="21.75" customHeight="1">
      <c r="B424" s="1645" t="s">
        <v>2105</v>
      </c>
      <c r="C424" s="1645" t="s">
        <v>2100</v>
      </c>
      <c r="D424" s="1661">
        <v>454</v>
      </c>
      <c r="E424" s="1661">
        <v>302</v>
      </c>
      <c r="F424" s="1661">
        <v>152</v>
      </c>
      <c r="G424" s="1656">
        <v>227</v>
      </c>
      <c r="H424" s="1652" t="s">
        <v>2094</v>
      </c>
      <c r="I424" s="1654">
        <v>24</v>
      </c>
      <c r="J424" s="1645" t="s">
        <v>493</v>
      </c>
    </row>
    <row r="425" spans="2:10" s="1632" customFormat="1" ht="21.75" customHeight="1">
      <c r="B425" s="1645" t="s">
        <v>2106</v>
      </c>
      <c r="C425" s="1658" t="s">
        <v>2107</v>
      </c>
      <c r="D425" s="1650">
        <v>47277</v>
      </c>
      <c r="E425" s="1650">
        <v>26137.4</v>
      </c>
      <c r="F425" s="1650">
        <v>21139.6</v>
      </c>
      <c r="G425" s="1656">
        <v>273</v>
      </c>
      <c r="H425" s="1652" t="s">
        <v>2094</v>
      </c>
      <c r="I425" s="1663">
        <v>2078.16</v>
      </c>
      <c r="J425" s="1645" t="s">
        <v>493</v>
      </c>
    </row>
    <row r="426" spans="2:10" s="1632" customFormat="1" ht="21.75" customHeight="1">
      <c r="B426" s="1645" t="s">
        <v>2108</v>
      </c>
      <c r="C426" s="1645" t="s">
        <v>2109</v>
      </c>
      <c r="D426" s="1650">
        <v>7404</v>
      </c>
      <c r="E426" s="1650">
        <v>4078.6</v>
      </c>
      <c r="F426" s="1650">
        <v>3325.4</v>
      </c>
      <c r="G426" s="1656">
        <v>274</v>
      </c>
      <c r="H426" s="1652" t="s">
        <v>2094</v>
      </c>
      <c r="I426" s="1654">
        <v>324.24</v>
      </c>
      <c r="J426" s="1645" t="s">
        <v>493</v>
      </c>
    </row>
    <row r="427" spans="2:10" s="1632" customFormat="1" ht="21.75" customHeight="1">
      <c r="B427" s="1645" t="s">
        <v>2110</v>
      </c>
      <c r="C427" s="1645" t="s">
        <v>2111</v>
      </c>
      <c r="D427" s="1650">
        <v>21970</v>
      </c>
      <c r="E427" s="1650">
        <v>21970</v>
      </c>
      <c r="F427" s="1655" t="s">
        <v>568</v>
      </c>
      <c r="G427" s="1656">
        <v>108</v>
      </c>
      <c r="H427" s="1652" t="s">
        <v>2112</v>
      </c>
      <c r="I427" s="1652" t="s">
        <v>568</v>
      </c>
      <c r="J427" s="1645" t="s">
        <v>493</v>
      </c>
    </row>
    <row r="428" spans="2:10" s="1632" customFormat="1" ht="21.75" customHeight="1">
      <c r="B428" s="1645" t="s">
        <v>2113</v>
      </c>
      <c r="C428" s="1645" t="s">
        <v>2114</v>
      </c>
      <c r="D428" s="1650">
        <v>13850</v>
      </c>
      <c r="E428" s="1650">
        <v>13850</v>
      </c>
      <c r="F428" s="1655" t="s">
        <v>568</v>
      </c>
      <c r="G428" s="1656">
        <v>108</v>
      </c>
      <c r="H428" s="1652" t="s">
        <v>2115</v>
      </c>
      <c r="I428" s="1652" t="s">
        <v>568</v>
      </c>
      <c r="J428" s="1645" t="s">
        <v>493</v>
      </c>
    </row>
    <row r="429" spans="2:10" s="1632" customFormat="1" ht="21.75" customHeight="1">
      <c r="B429" s="1645" t="s">
        <v>2116</v>
      </c>
      <c r="C429" s="1645" t="s">
        <v>2117</v>
      </c>
      <c r="D429" s="1650">
        <v>33832</v>
      </c>
      <c r="E429" s="1650">
        <v>33832</v>
      </c>
      <c r="F429" s="1655" t="s">
        <v>568</v>
      </c>
      <c r="G429" s="1656">
        <v>84</v>
      </c>
      <c r="H429" s="1652" t="s">
        <v>2118</v>
      </c>
      <c r="I429" s="1652" t="s">
        <v>568</v>
      </c>
      <c r="J429" s="1645" t="s">
        <v>493</v>
      </c>
    </row>
    <row r="430" spans="2:10" s="1632" customFormat="1" ht="21.75" customHeight="1">
      <c r="B430" s="1645" t="s">
        <v>2119</v>
      </c>
      <c r="C430" s="1645" t="s">
        <v>2120</v>
      </c>
      <c r="D430" s="1650">
        <v>36364</v>
      </c>
      <c r="E430" s="1650">
        <v>36364</v>
      </c>
      <c r="F430" s="1655" t="s">
        <v>568</v>
      </c>
      <c r="G430" s="1656">
        <v>84</v>
      </c>
      <c r="H430" s="1652" t="s">
        <v>2118</v>
      </c>
      <c r="I430" s="1652" t="s">
        <v>568</v>
      </c>
      <c r="J430" s="1645" t="s">
        <v>493</v>
      </c>
    </row>
    <row r="431" spans="2:10" s="1632" customFormat="1" ht="25.5" customHeight="1">
      <c r="B431" s="1645" t="s">
        <v>2121</v>
      </c>
      <c r="C431" s="1645" t="s">
        <v>2122</v>
      </c>
      <c r="D431" s="1650">
        <v>41140</v>
      </c>
      <c r="E431" s="1650">
        <v>38854.52</v>
      </c>
      <c r="F431" s="1650">
        <v>2285.48</v>
      </c>
      <c r="G431" s="1656">
        <v>72</v>
      </c>
      <c r="H431" s="1652" t="s">
        <v>2123</v>
      </c>
      <c r="I431" s="1653">
        <v>6856.68</v>
      </c>
      <c r="J431" s="1645" t="s">
        <v>2124</v>
      </c>
    </row>
    <row r="432" spans="2:10" s="1632" customFormat="1" ht="21.75" customHeight="1">
      <c r="B432" s="1645" t="s">
        <v>2125</v>
      </c>
      <c r="C432" s="1645" t="s">
        <v>2126</v>
      </c>
      <c r="D432" s="1650">
        <v>2850</v>
      </c>
      <c r="E432" s="1650">
        <v>2850</v>
      </c>
      <c r="F432" s="1655" t="s">
        <v>568</v>
      </c>
      <c r="G432" s="1656">
        <v>84</v>
      </c>
      <c r="H432" s="1652" t="s">
        <v>2127</v>
      </c>
      <c r="I432" s="1652" t="s">
        <v>568</v>
      </c>
      <c r="J432" s="1645" t="s">
        <v>493</v>
      </c>
    </row>
    <row r="433" spans="2:10" s="1632" customFormat="1" ht="21.75" customHeight="1">
      <c r="B433" s="1645" t="s">
        <v>2128</v>
      </c>
      <c r="C433" s="1645" t="s">
        <v>2129</v>
      </c>
      <c r="D433" s="1650">
        <v>5995</v>
      </c>
      <c r="E433" s="1650">
        <v>5995</v>
      </c>
      <c r="F433" s="1655" t="s">
        <v>568</v>
      </c>
      <c r="G433" s="1656">
        <v>72</v>
      </c>
      <c r="H433" s="1652" t="s">
        <v>2127</v>
      </c>
      <c r="I433" s="1652" t="s">
        <v>568</v>
      </c>
      <c r="J433" s="1645" t="s">
        <v>493</v>
      </c>
    </row>
    <row r="434" spans="2:10" s="1632" customFormat="1" ht="21.75" customHeight="1">
      <c r="B434" s="1645" t="s">
        <v>2130</v>
      </c>
      <c r="C434" s="1645" t="s">
        <v>2131</v>
      </c>
      <c r="D434" s="1650">
        <v>3500</v>
      </c>
      <c r="E434" s="1650">
        <v>3500</v>
      </c>
      <c r="F434" s="1655" t="s">
        <v>568</v>
      </c>
      <c r="G434" s="1656">
        <v>84</v>
      </c>
      <c r="H434" s="1652" t="s">
        <v>2127</v>
      </c>
      <c r="I434" s="1652" t="s">
        <v>568</v>
      </c>
      <c r="J434" s="1645" t="s">
        <v>493</v>
      </c>
    </row>
    <row r="435" spans="2:10" s="1632" customFormat="1" ht="21.75" customHeight="1">
      <c r="B435" s="1645" t="s">
        <v>2132</v>
      </c>
      <c r="C435" s="1645" t="s">
        <v>2133</v>
      </c>
      <c r="D435" s="1650">
        <v>74958</v>
      </c>
      <c r="E435" s="1650">
        <v>74958</v>
      </c>
      <c r="F435" s="1655" t="s">
        <v>568</v>
      </c>
      <c r="G435" s="1656">
        <v>109</v>
      </c>
      <c r="H435" s="1652" t="s">
        <v>2134</v>
      </c>
      <c r="I435" s="1652" t="s">
        <v>568</v>
      </c>
      <c r="J435" s="1645" t="s">
        <v>493</v>
      </c>
    </row>
    <row r="436" spans="2:10" s="1632" customFormat="1" ht="21.75" customHeight="1">
      <c r="B436" s="1645" t="s">
        <v>2135</v>
      </c>
      <c r="C436" s="1645" t="s">
        <v>2136</v>
      </c>
      <c r="D436" s="1650">
        <v>19720</v>
      </c>
      <c r="E436" s="1650">
        <v>19720</v>
      </c>
      <c r="F436" s="1655" t="s">
        <v>568</v>
      </c>
      <c r="G436" s="1656">
        <v>64</v>
      </c>
      <c r="H436" s="1652" t="s">
        <v>2127</v>
      </c>
      <c r="I436" s="1652" t="s">
        <v>568</v>
      </c>
      <c r="J436" s="1645" t="s">
        <v>493</v>
      </c>
    </row>
    <row r="437" spans="2:10" s="1632" customFormat="1" ht="21.75" customHeight="1">
      <c r="B437" s="1645" t="s">
        <v>2137</v>
      </c>
      <c r="C437" s="1645" t="s">
        <v>2138</v>
      </c>
      <c r="D437" s="1650">
        <v>1175</v>
      </c>
      <c r="E437" s="1650">
        <v>1175</v>
      </c>
      <c r="F437" s="1655" t="s">
        <v>568</v>
      </c>
      <c r="G437" s="1656">
        <v>72</v>
      </c>
      <c r="H437" s="1652" t="s">
        <v>2127</v>
      </c>
      <c r="I437" s="1652" t="s">
        <v>568</v>
      </c>
      <c r="J437" s="1645" t="s">
        <v>493</v>
      </c>
    </row>
    <row r="438" spans="2:10" s="1632" customFormat="1" ht="21.75" customHeight="1">
      <c r="B438" s="1645" t="s">
        <v>2139</v>
      </c>
      <c r="C438" s="1645" t="s">
        <v>2140</v>
      </c>
      <c r="D438" s="1661">
        <v>650</v>
      </c>
      <c r="E438" s="1661">
        <v>650</v>
      </c>
      <c r="F438" s="1655" t="s">
        <v>568</v>
      </c>
      <c r="G438" s="1656">
        <v>72</v>
      </c>
      <c r="H438" s="1652" t="s">
        <v>2127</v>
      </c>
      <c r="I438" s="1652" t="s">
        <v>568</v>
      </c>
      <c r="J438" s="1645" t="s">
        <v>493</v>
      </c>
    </row>
    <row r="439" spans="2:10" s="1632" customFormat="1" ht="21.75" customHeight="1">
      <c r="B439" s="1645" t="s">
        <v>2141</v>
      </c>
      <c r="C439" s="1645" t="s">
        <v>2142</v>
      </c>
      <c r="D439" s="1650">
        <v>1480</v>
      </c>
      <c r="E439" s="1650">
        <v>1480</v>
      </c>
      <c r="F439" s="1655" t="s">
        <v>568</v>
      </c>
      <c r="G439" s="1656">
        <v>72</v>
      </c>
      <c r="H439" s="1652" t="s">
        <v>2127</v>
      </c>
      <c r="I439" s="1652" t="s">
        <v>568</v>
      </c>
      <c r="J439" s="1645" t="s">
        <v>493</v>
      </c>
    </row>
    <row r="440" spans="2:10" s="1632" customFormat="1" ht="21.75" customHeight="1">
      <c r="B440" s="1645" t="s">
        <v>2143</v>
      </c>
      <c r="C440" s="1645" t="s">
        <v>2144</v>
      </c>
      <c r="D440" s="1650">
        <v>4450</v>
      </c>
      <c r="E440" s="1650">
        <v>4450</v>
      </c>
      <c r="F440" s="1655" t="s">
        <v>568</v>
      </c>
      <c r="G440" s="1656">
        <v>72</v>
      </c>
      <c r="H440" s="1652" t="s">
        <v>2127</v>
      </c>
      <c r="I440" s="1652" t="s">
        <v>568</v>
      </c>
      <c r="J440" s="1645" t="s">
        <v>493</v>
      </c>
    </row>
    <row r="441" spans="2:10" s="1632" customFormat="1" ht="32.25" customHeight="1">
      <c r="B441" s="1645" t="s">
        <v>2145</v>
      </c>
      <c r="C441" s="1645" t="s">
        <v>2146</v>
      </c>
      <c r="D441" s="1650">
        <v>49815</v>
      </c>
      <c r="E441" s="1650">
        <v>49815</v>
      </c>
      <c r="F441" s="1655" t="s">
        <v>568</v>
      </c>
      <c r="G441" s="1656">
        <v>96</v>
      </c>
      <c r="H441" s="1652" t="s">
        <v>2147</v>
      </c>
      <c r="I441" s="1652" t="s">
        <v>568</v>
      </c>
      <c r="J441" s="1645" t="s">
        <v>493</v>
      </c>
    </row>
    <row r="442" spans="2:10" s="1632" customFormat="1" ht="32.25" customHeight="1">
      <c r="B442" s="1645" t="s">
        <v>2148</v>
      </c>
      <c r="C442" s="1645" t="s">
        <v>2149</v>
      </c>
      <c r="D442" s="1650">
        <v>49815</v>
      </c>
      <c r="E442" s="1650">
        <v>49815</v>
      </c>
      <c r="F442" s="1655" t="s">
        <v>568</v>
      </c>
      <c r="G442" s="1656">
        <v>96</v>
      </c>
      <c r="H442" s="1652" t="s">
        <v>2147</v>
      </c>
      <c r="I442" s="1652" t="s">
        <v>568</v>
      </c>
      <c r="J442" s="1645" t="s">
        <v>493</v>
      </c>
    </row>
    <row r="443" spans="2:10" s="1632" customFormat="1" ht="21.75" customHeight="1">
      <c r="B443" s="1645" t="s">
        <v>2150</v>
      </c>
      <c r="C443" s="1645" t="s">
        <v>2151</v>
      </c>
      <c r="D443" s="1650">
        <v>83333</v>
      </c>
      <c r="E443" s="1650">
        <v>83333</v>
      </c>
      <c r="F443" s="1655" t="s">
        <v>568</v>
      </c>
      <c r="G443" s="1656">
        <v>75</v>
      </c>
      <c r="H443" s="1652" t="s">
        <v>2152</v>
      </c>
      <c r="I443" s="1652" t="s">
        <v>568</v>
      </c>
      <c r="J443" s="1645" t="s">
        <v>493</v>
      </c>
    </row>
    <row r="444" spans="2:10" s="1632" customFormat="1" ht="21.75" customHeight="1">
      <c r="B444" s="1645" t="s">
        <v>2153</v>
      </c>
      <c r="C444" s="1645" t="s">
        <v>2154</v>
      </c>
      <c r="D444" s="1650">
        <v>83334</v>
      </c>
      <c r="E444" s="1650">
        <v>83334</v>
      </c>
      <c r="F444" s="1655" t="s">
        <v>568</v>
      </c>
      <c r="G444" s="1656">
        <v>75</v>
      </c>
      <c r="H444" s="1652" t="s">
        <v>2152</v>
      </c>
      <c r="I444" s="1652" t="s">
        <v>568</v>
      </c>
      <c r="J444" s="1645" t="s">
        <v>493</v>
      </c>
    </row>
    <row r="445" spans="2:10" s="1632" customFormat="1" ht="21.75" customHeight="1">
      <c r="B445" s="1645" t="s">
        <v>2155</v>
      </c>
      <c r="C445" s="1645" t="s">
        <v>2156</v>
      </c>
      <c r="D445" s="1650">
        <v>13400</v>
      </c>
      <c r="E445" s="1650">
        <v>13400</v>
      </c>
      <c r="F445" s="1655" t="s">
        <v>568</v>
      </c>
      <c r="G445" s="1656">
        <v>84</v>
      </c>
      <c r="H445" s="1652" t="s">
        <v>2157</v>
      </c>
      <c r="I445" s="1652" t="s">
        <v>568</v>
      </c>
      <c r="J445" s="1645" t="s">
        <v>493</v>
      </c>
    </row>
    <row r="446" spans="2:10" s="1632" customFormat="1" ht="32.25" customHeight="1">
      <c r="B446" s="1645" t="s">
        <v>2158</v>
      </c>
      <c r="C446" s="1645" t="s">
        <v>2159</v>
      </c>
      <c r="D446" s="1650">
        <v>159675</v>
      </c>
      <c r="E446" s="1650">
        <v>159675</v>
      </c>
      <c r="F446" s="1655" t="s">
        <v>568</v>
      </c>
      <c r="G446" s="1656">
        <v>84</v>
      </c>
      <c r="H446" s="1652" t="s">
        <v>2157</v>
      </c>
      <c r="I446" s="1652" t="s">
        <v>568</v>
      </c>
      <c r="J446" s="1645" t="s">
        <v>493</v>
      </c>
    </row>
    <row r="447" spans="2:10" s="1632" customFormat="1" ht="21.75" customHeight="1">
      <c r="B447" s="1645" t="s">
        <v>2160</v>
      </c>
      <c r="C447" s="1645" t="s">
        <v>2161</v>
      </c>
      <c r="D447" s="1650">
        <v>27992</v>
      </c>
      <c r="E447" s="1650">
        <v>27992</v>
      </c>
      <c r="F447" s="1655" t="s">
        <v>568</v>
      </c>
      <c r="G447" s="1656">
        <v>84</v>
      </c>
      <c r="H447" s="1652" t="s">
        <v>2162</v>
      </c>
      <c r="I447" s="1652" t="s">
        <v>568</v>
      </c>
      <c r="J447" s="1645" t="s">
        <v>493</v>
      </c>
    </row>
    <row r="448" spans="2:10" s="1632" customFormat="1" ht="21.75" customHeight="1">
      <c r="B448" s="1645" t="s">
        <v>2163</v>
      </c>
      <c r="C448" s="1645" t="s">
        <v>2164</v>
      </c>
      <c r="D448" s="1650">
        <v>16525</v>
      </c>
      <c r="E448" s="1650">
        <v>16525</v>
      </c>
      <c r="F448" s="1655" t="s">
        <v>568</v>
      </c>
      <c r="G448" s="1656">
        <v>84</v>
      </c>
      <c r="H448" s="1652" t="s">
        <v>2165</v>
      </c>
      <c r="I448" s="1652" t="s">
        <v>568</v>
      </c>
      <c r="J448" s="1645" t="s">
        <v>493</v>
      </c>
    </row>
    <row r="449" spans="2:10" s="1632" customFormat="1" ht="21.75" customHeight="1">
      <c r="B449" s="1645" t="s">
        <v>2166</v>
      </c>
      <c r="C449" s="1645" t="s">
        <v>2167</v>
      </c>
      <c r="D449" s="1650">
        <v>3745</v>
      </c>
      <c r="E449" s="1650">
        <v>3745</v>
      </c>
      <c r="F449" s="1655" t="s">
        <v>568</v>
      </c>
      <c r="G449" s="1656">
        <v>47</v>
      </c>
      <c r="H449" s="1652" t="s">
        <v>2168</v>
      </c>
      <c r="I449" s="1652" t="s">
        <v>568</v>
      </c>
      <c r="J449" s="1645" t="s">
        <v>493</v>
      </c>
    </row>
    <row r="450" spans="2:10" s="1632" customFormat="1" ht="21.75" customHeight="1">
      <c r="B450" s="1645" t="s">
        <v>2169</v>
      </c>
      <c r="C450" s="1645" t="s">
        <v>2170</v>
      </c>
      <c r="D450" s="1650">
        <v>27992</v>
      </c>
      <c r="E450" s="1650">
        <v>27992</v>
      </c>
      <c r="F450" s="1655" t="s">
        <v>568</v>
      </c>
      <c r="G450" s="1656">
        <v>24</v>
      </c>
      <c r="H450" s="1652" t="s">
        <v>2168</v>
      </c>
      <c r="I450" s="1652" t="s">
        <v>568</v>
      </c>
      <c r="J450" s="1645" t="s">
        <v>493</v>
      </c>
    </row>
    <row r="451" spans="2:10" s="1632" customFormat="1" ht="32.25" customHeight="1">
      <c r="B451" s="1645" t="s">
        <v>2171</v>
      </c>
      <c r="C451" s="1645" t="s">
        <v>2172</v>
      </c>
      <c r="D451" s="1650">
        <v>331183</v>
      </c>
      <c r="E451" s="1650">
        <v>331183</v>
      </c>
      <c r="F451" s="1655" t="s">
        <v>568</v>
      </c>
      <c r="G451" s="1656">
        <v>84</v>
      </c>
      <c r="H451" s="1652" t="s">
        <v>2173</v>
      </c>
      <c r="I451" s="1652" t="s">
        <v>568</v>
      </c>
      <c r="J451" s="1645" t="s">
        <v>493</v>
      </c>
    </row>
    <row r="452" spans="2:10" s="1632" customFormat="1" ht="21.75" customHeight="1">
      <c r="B452" s="1645" t="s">
        <v>2174</v>
      </c>
      <c r="C452" s="1645" t="s">
        <v>2175</v>
      </c>
      <c r="D452" s="1650">
        <v>6033</v>
      </c>
      <c r="E452" s="1650">
        <v>6033</v>
      </c>
      <c r="F452" s="1655" t="s">
        <v>568</v>
      </c>
      <c r="G452" s="1656">
        <v>60</v>
      </c>
      <c r="H452" s="1652" t="s">
        <v>2176</v>
      </c>
      <c r="I452" s="1652" t="s">
        <v>568</v>
      </c>
      <c r="J452" s="1645" t="s">
        <v>493</v>
      </c>
    </row>
    <row r="453" spans="2:10" s="1632" customFormat="1" ht="21.75" customHeight="1">
      <c r="B453" s="1645" t="s">
        <v>2177</v>
      </c>
      <c r="C453" s="1645" t="s">
        <v>2178</v>
      </c>
      <c r="D453" s="1650">
        <v>16552</v>
      </c>
      <c r="E453" s="1650">
        <v>16552</v>
      </c>
      <c r="F453" s="1655" t="s">
        <v>568</v>
      </c>
      <c r="G453" s="1656">
        <v>36</v>
      </c>
      <c r="H453" s="1652" t="s">
        <v>2179</v>
      </c>
      <c r="I453" s="1652" t="s">
        <v>568</v>
      </c>
      <c r="J453" s="1645" t="s">
        <v>493</v>
      </c>
    </row>
    <row r="454" spans="2:10" s="1632" customFormat="1" ht="21.75" customHeight="1">
      <c r="B454" s="1645" t="s">
        <v>2180</v>
      </c>
      <c r="C454" s="1645" t="s">
        <v>2181</v>
      </c>
      <c r="D454" s="1650">
        <v>48200</v>
      </c>
      <c r="E454" s="1650">
        <v>48200</v>
      </c>
      <c r="F454" s="1655" t="s">
        <v>568</v>
      </c>
      <c r="G454" s="1656">
        <v>84</v>
      </c>
      <c r="H454" s="1652" t="s">
        <v>2182</v>
      </c>
      <c r="I454" s="1652" t="s">
        <v>568</v>
      </c>
      <c r="J454" s="1645" t="s">
        <v>493</v>
      </c>
    </row>
    <row r="455" spans="2:10" s="1632" customFormat="1" ht="21.75" customHeight="1">
      <c r="B455" s="1645" t="s">
        <v>2183</v>
      </c>
      <c r="C455" s="1645" t="s">
        <v>2184</v>
      </c>
      <c r="D455" s="1650">
        <v>48200</v>
      </c>
      <c r="E455" s="1650">
        <v>48200</v>
      </c>
      <c r="F455" s="1655" t="s">
        <v>568</v>
      </c>
      <c r="G455" s="1656">
        <v>84</v>
      </c>
      <c r="H455" s="1652" t="s">
        <v>2182</v>
      </c>
      <c r="I455" s="1652" t="s">
        <v>568</v>
      </c>
      <c r="J455" s="1645" t="s">
        <v>493</v>
      </c>
    </row>
    <row r="456" spans="2:10" s="1632" customFormat="1" ht="21.75" customHeight="1">
      <c r="B456" s="1645" t="s">
        <v>2185</v>
      </c>
      <c r="C456" s="1645" t="s">
        <v>2186</v>
      </c>
      <c r="D456" s="1650">
        <v>4020</v>
      </c>
      <c r="E456" s="1650">
        <v>4020</v>
      </c>
      <c r="F456" s="1655" t="s">
        <v>568</v>
      </c>
      <c r="G456" s="1656">
        <v>84</v>
      </c>
      <c r="H456" s="1652" t="s">
        <v>2187</v>
      </c>
      <c r="I456" s="1652" t="s">
        <v>568</v>
      </c>
      <c r="J456" s="1645" t="s">
        <v>493</v>
      </c>
    </row>
    <row r="457" spans="2:10" s="1632" customFormat="1" ht="21.75" customHeight="1">
      <c r="B457" s="1645" t="s">
        <v>2188</v>
      </c>
      <c r="C457" s="1645" t="s">
        <v>2189</v>
      </c>
      <c r="D457" s="1650">
        <v>4020</v>
      </c>
      <c r="E457" s="1650">
        <v>4020</v>
      </c>
      <c r="F457" s="1655" t="s">
        <v>568</v>
      </c>
      <c r="G457" s="1656">
        <v>84</v>
      </c>
      <c r="H457" s="1652" t="s">
        <v>2187</v>
      </c>
      <c r="I457" s="1652" t="s">
        <v>568</v>
      </c>
      <c r="J457" s="1645" t="s">
        <v>493</v>
      </c>
    </row>
    <row r="458" spans="2:10" s="1632" customFormat="1" ht="21.75" customHeight="1">
      <c r="B458" s="1645" t="s">
        <v>2190</v>
      </c>
      <c r="C458" s="1645" t="s">
        <v>2191</v>
      </c>
      <c r="D458" s="1650">
        <v>31282</v>
      </c>
      <c r="E458" s="1650">
        <v>31282</v>
      </c>
      <c r="F458" s="1655" t="s">
        <v>568</v>
      </c>
      <c r="G458" s="1656">
        <v>84</v>
      </c>
      <c r="H458" s="1652" t="s">
        <v>2192</v>
      </c>
      <c r="I458" s="1652" t="s">
        <v>568</v>
      </c>
      <c r="J458" s="1645" t="s">
        <v>493</v>
      </c>
    </row>
    <row r="459" spans="2:10" s="1632" customFormat="1" ht="21.75" customHeight="1">
      <c r="B459" s="1645" t="s">
        <v>2193</v>
      </c>
      <c r="C459" s="1645" t="s">
        <v>2194</v>
      </c>
      <c r="D459" s="1650">
        <v>18900</v>
      </c>
      <c r="E459" s="1650">
        <v>18900</v>
      </c>
      <c r="F459" s="1655" t="s">
        <v>568</v>
      </c>
      <c r="G459" s="1656">
        <v>36</v>
      </c>
      <c r="H459" s="1652" t="s">
        <v>2173</v>
      </c>
      <c r="I459" s="1652" t="s">
        <v>568</v>
      </c>
      <c r="J459" s="1645" t="s">
        <v>493</v>
      </c>
    </row>
    <row r="460" spans="2:10" s="1632" customFormat="1" ht="21.75" customHeight="1">
      <c r="B460" s="1645" t="s">
        <v>2195</v>
      </c>
      <c r="C460" s="1645" t="s">
        <v>2196</v>
      </c>
      <c r="D460" s="1650">
        <v>22800</v>
      </c>
      <c r="E460" s="1650">
        <v>22800</v>
      </c>
      <c r="F460" s="1655" t="s">
        <v>568</v>
      </c>
      <c r="G460" s="1656">
        <v>60</v>
      </c>
      <c r="H460" s="1652" t="s">
        <v>2197</v>
      </c>
      <c r="I460" s="1652" t="s">
        <v>568</v>
      </c>
      <c r="J460" s="1645" t="s">
        <v>493</v>
      </c>
    </row>
    <row r="461" spans="2:10" s="1632" customFormat="1" ht="32.25" customHeight="1">
      <c r="B461" s="1645" t="s">
        <v>2198</v>
      </c>
      <c r="C461" s="1645" t="s">
        <v>2199</v>
      </c>
      <c r="D461" s="1650">
        <v>10386</v>
      </c>
      <c r="E461" s="1650">
        <v>10386</v>
      </c>
      <c r="F461" s="1655" t="s">
        <v>568</v>
      </c>
      <c r="G461" s="1656">
        <v>60</v>
      </c>
      <c r="H461" s="1652" t="s">
        <v>2200</v>
      </c>
      <c r="I461" s="1652" t="s">
        <v>568</v>
      </c>
      <c r="J461" s="1645" t="s">
        <v>493</v>
      </c>
    </row>
    <row r="462" spans="2:10" s="1632" customFormat="1" ht="21.75" customHeight="1">
      <c r="B462" s="1645" t="s">
        <v>2201</v>
      </c>
      <c r="C462" s="1645" t="s">
        <v>2202</v>
      </c>
      <c r="D462" s="1650">
        <v>10932</v>
      </c>
      <c r="E462" s="1650">
        <v>10932</v>
      </c>
      <c r="F462" s="1655" t="s">
        <v>568</v>
      </c>
      <c r="G462" s="1656">
        <v>60</v>
      </c>
      <c r="H462" s="1652" t="s">
        <v>2203</v>
      </c>
      <c r="I462" s="1652" t="s">
        <v>568</v>
      </c>
      <c r="J462" s="1645" t="s">
        <v>493</v>
      </c>
    </row>
    <row r="463" spans="2:10" s="1632" customFormat="1" ht="21.75" customHeight="1">
      <c r="B463" s="1645" t="s">
        <v>2204</v>
      </c>
      <c r="C463" s="1645" t="s">
        <v>2205</v>
      </c>
      <c r="D463" s="1650">
        <v>18100</v>
      </c>
      <c r="E463" s="1650">
        <v>18100</v>
      </c>
      <c r="F463" s="1655" t="s">
        <v>568</v>
      </c>
      <c r="G463" s="1656">
        <v>60</v>
      </c>
      <c r="H463" s="1652" t="s">
        <v>2206</v>
      </c>
      <c r="I463" s="1652" t="s">
        <v>568</v>
      </c>
      <c r="J463" s="1645" t="s">
        <v>493</v>
      </c>
    </row>
    <row r="464" spans="2:10" s="1632" customFormat="1" ht="32.25" customHeight="1">
      <c r="B464" s="1645" t="s">
        <v>2207</v>
      </c>
      <c r="C464" s="1645" t="s">
        <v>2208</v>
      </c>
      <c r="D464" s="1650">
        <v>102421</v>
      </c>
      <c r="E464" s="1650">
        <v>102421</v>
      </c>
      <c r="F464" s="1655" t="s">
        <v>568</v>
      </c>
      <c r="G464" s="1656">
        <v>60</v>
      </c>
      <c r="H464" s="1652" t="s">
        <v>2209</v>
      </c>
      <c r="I464" s="1652" t="s">
        <v>568</v>
      </c>
      <c r="J464" s="1645" t="s">
        <v>493</v>
      </c>
    </row>
    <row r="465" spans="2:10" s="1632" customFormat="1" ht="21.75" customHeight="1">
      <c r="B465" s="1645" t="s">
        <v>2210</v>
      </c>
      <c r="C465" s="1645" t="s">
        <v>2211</v>
      </c>
      <c r="D465" s="1650">
        <v>32100</v>
      </c>
      <c r="E465" s="1650">
        <v>32100</v>
      </c>
      <c r="F465" s="1655" t="s">
        <v>568</v>
      </c>
      <c r="G465" s="1656">
        <v>60</v>
      </c>
      <c r="H465" s="1652" t="s">
        <v>2212</v>
      </c>
      <c r="I465" s="1652" t="s">
        <v>568</v>
      </c>
      <c r="J465" s="1645" t="s">
        <v>493</v>
      </c>
    </row>
    <row r="466" spans="2:10" s="1632" customFormat="1" ht="21.75" customHeight="1">
      <c r="B466" s="1645" t="s">
        <v>2213</v>
      </c>
      <c r="C466" s="1645" t="s">
        <v>2214</v>
      </c>
      <c r="D466" s="1650">
        <v>23305</v>
      </c>
      <c r="E466" s="1650">
        <v>23305</v>
      </c>
      <c r="F466" s="1655" t="s">
        <v>568</v>
      </c>
      <c r="G466" s="1656">
        <v>60</v>
      </c>
      <c r="H466" s="1652" t="s">
        <v>2215</v>
      </c>
      <c r="I466" s="1652" t="s">
        <v>568</v>
      </c>
      <c r="J466" s="1645" t="s">
        <v>493</v>
      </c>
    </row>
    <row r="467" spans="2:10" s="1632" customFormat="1" ht="21.75" customHeight="1">
      <c r="B467" s="1645" t="s">
        <v>2216</v>
      </c>
      <c r="C467" s="1645" t="s">
        <v>2217</v>
      </c>
      <c r="D467" s="1650">
        <v>11072</v>
      </c>
      <c r="E467" s="1650">
        <v>11072</v>
      </c>
      <c r="F467" s="1655" t="s">
        <v>568</v>
      </c>
      <c r="G467" s="1656">
        <v>60</v>
      </c>
      <c r="H467" s="1652" t="s">
        <v>2215</v>
      </c>
      <c r="I467" s="1652" t="s">
        <v>568</v>
      </c>
      <c r="J467" s="1645" t="s">
        <v>493</v>
      </c>
    </row>
    <row r="468" spans="2:10" s="1632" customFormat="1" ht="21.75" customHeight="1">
      <c r="B468" s="1645" t="s">
        <v>2218</v>
      </c>
      <c r="C468" s="1645" t="s">
        <v>2219</v>
      </c>
      <c r="D468" s="1650">
        <v>10530</v>
      </c>
      <c r="E468" s="1650">
        <v>10530</v>
      </c>
      <c r="F468" s="1655" t="s">
        <v>568</v>
      </c>
      <c r="G468" s="1656">
        <v>60</v>
      </c>
      <c r="H468" s="1652" t="s">
        <v>2220</v>
      </c>
      <c r="I468" s="1652" t="s">
        <v>568</v>
      </c>
      <c r="J468" s="1645" t="s">
        <v>493</v>
      </c>
    </row>
    <row r="469" spans="2:10" s="1632" customFormat="1" ht="21.75" customHeight="1">
      <c r="B469" s="1645" t="s">
        <v>2221</v>
      </c>
      <c r="C469" s="1645" t="s">
        <v>2222</v>
      </c>
      <c r="D469" s="1650">
        <v>41441</v>
      </c>
      <c r="E469" s="1650">
        <v>41441</v>
      </c>
      <c r="F469" s="1655" t="s">
        <v>568</v>
      </c>
      <c r="G469" s="1656">
        <v>72</v>
      </c>
      <c r="H469" s="1652" t="s">
        <v>2223</v>
      </c>
      <c r="I469" s="1652" t="s">
        <v>568</v>
      </c>
      <c r="J469" s="1645" t="s">
        <v>493</v>
      </c>
    </row>
    <row r="470" spans="2:10" s="1632" customFormat="1" ht="32.25" customHeight="1">
      <c r="B470" s="1645" t="s">
        <v>2224</v>
      </c>
      <c r="C470" s="1645" t="s">
        <v>2225</v>
      </c>
      <c r="D470" s="1650">
        <v>23771</v>
      </c>
      <c r="E470" s="1650">
        <v>23771</v>
      </c>
      <c r="F470" s="1655" t="s">
        <v>568</v>
      </c>
      <c r="G470" s="1656">
        <v>60</v>
      </c>
      <c r="H470" s="1652" t="s">
        <v>2226</v>
      </c>
      <c r="I470" s="1652" t="s">
        <v>568</v>
      </c>
      <c r="J470" s="1645" t="s">
        <v>493</v>
      </c>
    </row>
    <row r="471" spans="2:10" s="1632" customFormat="1" ht="32.25" customHeight="1">
      <c r="B471" s="1645" t="s">
        <v>2227</v>
      </c>
      <c r="C471" s="1645" t="s">
        <v>2228</v>
      </c>
      <c r="D471" s="1650">
        <v>23771</v>
      </c>
      <c r="E471" s="1650">
        <v>23771</v>
      </c>
      <c r="F471" s="1655" t="s">
        <v>568</v>
      </c>
      <c r="G471" s="1656">
        <v>60</v>
      </c>
      <c r="H471" s="1652" t="s">
        <v>2226</v>
      </c>
      <c r="I471" s="1652" t="s">
        <v>568</v>
      </c>
      <c r="J471" s="1645" t="s">
        <v>493</v>
      </c>
    </row>
    <row r="472" spans="2:10" s="1632" customFormat="1" ht="21.75" customHeight="1">
      <c r="B472" s="1645" t="s">
        <v>2229</v>
      </c>
      <c r="C472" s="1645" t="s">
        <v>2230</v>
      </c>
      <c r="D472" s="1650">
        <v>45764.4</v>
      </c>
      <c r="E472" s="1650">
        <v>45764.2</v>
      </c>
      <c r="F472" s="1661">
        <v>0.2</v>
      </c>
      <c r="G472" s="1656">
        <v>72</v>
      </c>
      <c r="H472" s="1652" t="s">
        <v>2231</v>
      </c>
      <c r="I472" s="1653">
        <v>7627.11</v>
      </c>
      <c r="J472" s="1645" t="s">
        <v>493</v>
      </c>
    </row>
    <row r="473" spans="2:10" s="1632" customFormat="1" ht="21.75" customHeight="1">
      <c r="B473" s="1645" t="s">
        <v>2232</v>
      </c>
      <c r="C473" s="1645" t="s">
        <v>2233</v>
      </c>
      <c r="D473" s="1650">
        <v>28200</v>
      </c>
      <c r="E473" s="1650">
        <v>27025.23</v>
      </c>
      <c r="F473" s="1650">
        <v>1174.77</v>
      </c>
      <c r="G473" s="1656">
        <v>72</v>
      </c>
      <c r="H473" s="1652" t="s">
        <v>2234</v>
      </c>
      <c r="I473" s="1653">
        <v>4700.04</v>
      </c>
      <c r="J473" s="1645" t="s">
        <v>493</v>
      </c>
    </row>
    <row r="474" spans="2:10" s="1632" customFormat="1" ht="21.75" customHeight="1">
      <c r="B474" s="1645" t="s">
        <v>2235</v>
      </c>
      <c r="C474" s="1645" t="s">
        <v>2236</v>
      </c>
      <c r="D474" s="1650">
        <v>73381.36</v>
      </c>
      <c r="E474" s="1650">
        <v>70324.11</v>
      </c>
      <c r="F474" s="1650">
        <v>3057.25</v>
      </c>
      <c r="G474" s="1656">
        <v>72</v>
      </c>
      <c r="H474" s="1652" t="s">
        <v>2234</v>
      </c>
      <c r="I474" s="1653">
        <v>12230.28</v>
      </c>
      <c r="J474" s="1645" t="s">
        <v>493</v>
      </c>
    </row>
    <row r="475" spans="2:10" s="1632" customFormat="1" ht="21.75" customHeight="1">
      <c r="B475" s="1645" t="s">
        <v>2237</v>
      </c>
      <c r="C475" s="1645" t="s">
        <v>2238</v>
      </c>
      <c r="D475" s="1650">
        <v>35000</v>
      </c>
      <c r="E475" s="1650">
        <v>32083.26</v>
      </c>
      <c r="F475" s="1650">
        <v>2916.74</v>
      </c>
      <c r="G475" s="1656">
        <v>72</v>
      </c>
      <c r="H475" s="1652" t="s">
        <v>2239</v>
      </c>
      <c r="I475" s="1653">
        <v>5833.32</v>
      </c>
      <c r="J475" s="1645" t="s">
        <v>493</v>
      </c>
    </row>
    <row r="476" spans="2:10" s="1632" customFormat="1" ht="21.75" customHeight="1">
      <c r="B476" s="1645" t="s">
        <v>2240</v>
      </c>
      <c r="C476" s="1645" t="s">
        <v>2241</v>
      </c>
      <c r="D476" s="1650">
        <v>38474.58</v>
      </c>
      <c r="E476" s="1650">
        <v>22844.46</v>
      </c>
      <c r="F476" s="1650">
        <v>15630.12</v>
      </c>
      <c r="G476" s="1656">
        <v>96</v>
      </c>
      <c r="H476" s="1652" t="s">
        <v>2242</v>
      </c>
      <c r="I476" s="1653">
        <v>4809.36</v>
      </c>
      <c r="J476" s="1645" t="s">
        <v>493</v>
      </c>
    </row>
    <row r="477" spans="2:10" s="1632" customFormat="1" ht="21.75" customHeight="1">
      <c r="B477" s="1645" t="s">
        <v>2243</v>
      </c>
      <c r="C477" s="1645" t="s">
        <v>2244</v>
      </c>
      <c r="D477" s="1650">
        <v>90677.97</v>
      </c>
      <c r="E477" s="1650">
        <v>90677.97</v>
      </c>
      <c r="F477" s="1655" t="s">
        <v>568</v>
      </c>
      <c r="G477" s="1656">
        <v>46</v>
      </c>
      <c r="H477" s="1652" t="s">
        <v>2245</v>
      </c>
      <c r="I477" s="1653">
        <v>5913.79</v>
      </c>
      <c r="J477" s="1645" t="s">
        <v>493</v>
      </c>
    </row>
    <row r="478" spans="2:10" s="1632" customFormat="1" ht="21.75" customHeight="1">
      <c r="B478" s="1645" t="s">
        <v>2246</v>
      </c>
      <c r="C478" s="1645" t="s">
        <v>2247</v>
      </c>
      <c r="D478" s="1650">
        <v>52542.37</v>
      </c>
      <c r="E478" s="1650">
        <v>40136.8</v>
      </c>
      <c r="F478" s="1650">
        <v>12405.57</v>
      </c>
      <c r="G478" s="1656">
        <v>72</v>
      </c>
      <c r="H478" s="1652" t="s">
        <v>2245</v>
      </c>
      <c r="I478" s="1653">
        <v>8757.12</v>
      </c>
      <c r="J478" s="1645" t="s">
        <v>493</v>
      </c>
    </row>
    <row r="479" spans="2:10" s="1632" customFormat="1" ht="21.75" customHeight="1">
      <c r="B479" s="1645" t="s">
        <v>2248</v>
      </c>
      <c r="C479" s="1645" t="s">
        <v>2249</v>
      </c>
      <c r="D479" s="1650">
        <v>13262.71</v>
      </c>
      <c r="E479" s="1650">
        <v>13262.71</v>
      </c>
      <c r="F479" s="1655" t="s">
        <v>568</v>
      </c>
      <c r="G479" s="1656">
        <v>36</v>
      </c>
      <c r="H479" s="1652" t="s">
        <v>2250</v>
      </c>
      <c r="I479" s="1652" t="s">
        <v>568</v>
      </c>
      <c r="J479" s="1645" t="s">
        <v>493</v>
      </c>
    </row>
    <row r="480" spans="2:10" s="1632" customFormat="1" ht="21.75" customHeight="1">
      <c r="B480" s="1645" t="s">
        <v>2251</v>
      </c>
      <c r="C480" s="1645" t="s">
        <v>2252</v>
      </c>
      <c r="D480" s="1650">
        <v>15500</v>
      </c>
      <c r="E480" s="1650">
        <v>13100.92</v>
      </c>
      <c r="F480" s="1650">
        <v>2399.08</v>
      </c>
      <c r="G480" s="1656">
        <v>84</v>
      </c>
      <c r="H480" s="1652" t="s">
        <v>2253</v>
      </c>
      <c r="I480" s="1653">
        <v>2214.24</v>
      </c>
      <c r="J480" s="1645" t="s">
        <v>493</v>
      </c>
    </row>
    <row r="481" spans="2:10" s="1632" customFormat="1" ht="21.75" customHeight="1">
      <c r="B481" s="1645" t="s">
        <v>2254</v>
      </c>
      <c r="C481" s="1645" t="s">
        <v>2252</v>
      </c>
      <c r="D481" s="1650">
        <v>15500</v>
      </c>
      <c r="E481" s="1650">
        <v>13100.92</v>
      </c>
      <c r="F481" s="1650">
        <v>2399.08</v>
      </c>
      <c r="G481" s="1656">
        <v>84</v>
      </c>
      <c r="H481" s="1652" t="s">
        <v>2255</v>
      </c>
      <c r="I481" s="1653">
        <v>2214.24</v>
      </c>
      <c r="J481" s="1645" t="s">
        <v>493</v>
      </c>
    </row>
    <row r="482" spans="2:10" s="1632" customFormat="1" ht="21.75" customHeight="1">
      <c r="B482" s="1645" t="s">
        <v>2256</v>
      </c>
      <c r="C482" s="1645" t="s">
        <v>2257</v>
      </c>
      <c r="D482" s="1650">
        <v>24000</v>
      </c>
      <c r="E482" s="1650">
        <v>23666.43</v>
      </c>
      <c r="F482" s="1661">
        <v>333.57</v>
      </c>
      <c r="G482" s="1656">
        <v>72</v>
      </c>
      <c r="H482" s="1652" t="s">
        <v>2258</v>
      </c>
      <c r="I482" s="1653">
        <v>3999.96</v>
      </c>
      <c r="J482" s="1645" t="s">
        <v>493</v>
      </c>
    </row>
    <row r="483" spans="2:10" s="1632" customFormat="1" ht="21.75" customHeight="1">
      <c r="B483" s="1645" t="s">
        <v>2259</v>
      </c>
      <c r="C483" s="1645" t="s">
        <v>2260</v>
      </c>
      <c r="D483" s="1650">
        <v>60300</v>
      </c>
      <c r="E483" s="1650">
        <v>55275</v>
      </c>
      <c r="F483" s="1650">
        <v>5025</v>
      </c>
      <c r="G483" s="1656">
        <v>72</v>
      </c>
      <c r="H483" s="1652" t="s">
        <v>2239</v>
      </c>
      <c r="I483" s="1653">
        <v>10050</v>
      </c>
      <c r="J483" s="1645" t="s">
        <v>493</v>
      </c>
    </row>
    <row r="484" spans="2:10" s="1632" customFormat="1" ht="11.25" customHeight="1">
      <c r="B484" s="1664"/>
      <c r="C484" s="1665" t="s">
        <v>2261</v>
      </c>
      <c r="D484" s="1666">
        <v>101916848.39</v>
      </c>
      <c r="E484" s="1666">
        <v>84003498.57</v>
      </c>
      <c r="F484" s="1667">
        <v>17913349.82</v>
      </c>
      <c r="G484" s="1668"/>
      <c r="H484" s="1668"/>
      <c r="I484" s="1667">
        <v>3174772.78</v>
      </c>
      <c r="J484" s="1669"/>
    </row>
    <row r="485" s="1670" customFormat="1" ht="11.25" customHeight="1"/>
    <row r="486" spans="9:10" s="1670" customFormat="1" ht="11.25" customHeight="1">
      <c r="I486" s="1671">
        <f>I101+I107+I108+I111+I119+I134+I159+I160+I187+I188+I189+I190+I226+I227+I228+I230+I231+I323+I324+I325+I326+I327+I328+I329+I334+I335+I336+I337+I338+I347+I348+I404+I416+I417+I425</f>
        <v>14411.04</v>
      </c>
      <c r="J486" s="1673">
        <f>I486*12/1000</f>
        <v>172.93248</v>
      </c>
    </row>
    <row r="487" spans="2:10" s="1670" customFormat="1" ht="11.25" customHeight="1">
      <c r="B487" s="1632" t="s">
        <v>2262</v>
      </c>
      <c r="H487" s="1934"/>
      <c r="I487" s="1934"/>
      <c r="J487" s="1934"/>
    </row>
    <row r="488" spans="4:6" s="1670" customFormat="1" ht="11.25" customHeight="1">
      <c r="D488" s="1672"/>
      <c r="E488" s="1935" t="s">
        <v>2263</v>
      </c>
      <c r="F488" s="1935"/>
    </row>
  </sheetData>
  <sheetProtection/>
  <mergeCells count="15">
    <mergeCell ref="C8:E8"/>
    <mergeCell ref="D9:F9"/>
    <mergeCell ref="B10:B11"/>
    <mergeCell ref="C10:C11"/>
    <mergeCell ref="D10:D11"/>
    <mergeCell ref="E10:E11"/>
    <mergeCell ref="F10:F11"/>
    <mergeCell ref="H487:J487"/>
    <mergeCell ref="E488:F488"/>
    <mergeCell ref="G10:G11"/>
    <mergeCell ref="H10:H11"/>
    <mergeCell ref="I10:I11"/>
    <mergeCell ref="J10:J11"/>
    <mergeCell ref="F13:H13"/>
    <mergeCell ref="F15:H1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Normal="75" zoomScaleSheetLayoutView="100" zoomScalePageLayoutView="0" workbookViewId="0" topLeftCell="A1">
      <selection activeCell="H21" sqref="H21"/>
    </sheetView>
  </sheetViews>
  <sheetFormatPr defaultColWidth="9.00390625" defaultRowHeight="12.75"/>
  <cols>
    <col min="3" max="3" width="38.375" style="0" customWidth="1"/>
    <col min="4" max="4" width="19.75390625" style="0" hidden="1" customWidth="1"/>
    <col min="5" max="5" width="19.75390625" style="0" customWidth="1"/>
    <col min="6" max="6" width="18.125" style="0" customWidth="1"/>
    <col min="7" max="7" width="18.25390625" style="0" customWidth="1"/>
    <col min="8" max="8" width="23.00390625" style="0" customWidth="1"/>
    <col min="9" max="9" width="16.00390625" style="0" customWidth="1"/>
  </cols>
  <sheetData>
    <row r="1" ht="13.5" thickBot="1">
      <c r="A1" s="53" t="s">
        <v>2324</v>
      </c>
    </row>
    <row r="2" spans="2:7" ht="18" customHeight="1">
      <c r="B2" s="1754" t="s">
        <v>2284</v>
      </c>
      <c r="C2" s="1941"/>
      <c r="D2" s="1943" t="s">
        <v>2326</v>
      </c>
      <c r="E2" s="1039"/>
      <c r="F2" s="1876" t="s">
        <v>2325</v>
      </c>
      <c r="G2" s="1888"/>
    </row>
    <row r="3" spans="2:7" ht="18.75" customHeight="1" thickBot="1">
      <c r="B3" s="1758"/>
      <c r="C3" s="1942"/>
      <c r="D3" s="1748"/>
      <c r="E3" s="1033"/>
      <c r="F3" s="1944"/>
      <c r="G3" s="1945"/>
    </row>
    <row r="4" spans="2:7" ht="43.5" customHeight="1">
      <c r="B4" s="38" t="s">
        <v>223</v>
      </c>
      <c r="C4" s="481" t="s">
        <v>1558</v>
      </c>
      <c r="D4" s="482" t="s">
        <v>2291</v>
      </c>
      <c r="E4" s="1031" t="s">
        <v>1196</v>
      </c>
      <c r="F4" s="1044" t="s">
        <v>1192</v>
      </c>
      <c r="G4" s="1036" t="s">
        <v>1193</v>
      </c>
    </row>
    <row r="5" spans="2:7" ht="25.5">
      <c r="B5" s="5" t="s">
        <v>124</v>
      </c>
      <c r="C5" s="488" t="s">
        <v>2316</v>
      </c>
      <c r="D5" s="744">
        <v>439.31</v>
      </c>
      <c r="E5" s="1040">
        <v>439.31</v>
      </c>
      <c r="F5" s="1045">
        <v>1573.7</v>
      </c>
      <c r="G5" s="514">
        <f>'П1.17.1'!C47</f>
        <v>1644.045</v>
      </c>
    </row>
    <row r="6" spans="2:8" ht="25.5">
      <c r="B6" s="5" t="s">
        <v>174</v>
      </c>
      <c r="C6" s="488" t="s">
        <v>2317</v>
      </c>
      <c r="D6" s="490">
        <v>0</v>
      </c>
      <c r="E6" s="1041"/>
      <c r="F6" s="1045"/>
      <c r="G6" s="46">
        <v>0</v>
      </c>
      <c r="H6" s="167"/>
    </row>
    <row r="7" spans="2:8" ht="25.5">
      <c r="B7" s="5" t="s">
        <v>176</v>
      </c>
      <c r="C7" s="488" t="s">
        <v>2321</v>
      </c>
      <c r="D7" s="490">
        <v>0</v>
      </c>
      <c r="E7" s="1041"/>
      <c r="F7" s="1045"/>
      <c r="G7" s="46">
        <v>0</v>
      </c>
      <c r="H7" s="167"/>
    </row>
    <row r="8" spans="2:8" ht="25.5">
      <c r="B8" s="5" t="s">
        <v>178</v>
      </c>
      <c r="C8" s="488" t="s">
        <v>2322</v>
      </c>
      <c r="D8" s="490">
        <v>439.31</v>
      </c>
      <c r="E8" s="1041">
        <v>439.31</v>
      </c>
      <c r="F8" s="1045">
        <v>1219.7</v>
      </c>
      <c r="G8" s="514">
        <f>(G5+G6-G7+G5)/2</f>
        <v>1644.045</v>
      </c>
      <c r="H8">
        <f>5%*G8</f>
        <v>82.20225</v>
      </c>
    </row>
    <row r="9" spans="2:8" ht="12.75">
      <c r="B9" s="5" t="s">
        <v>2313</v>
      </c>
      <c r="C9" s="488" t="s">
        <v>2314</v>
      </c>
      <c r="D9" s="491">
        <v>0.0143</v>
      </c>
      <c r="E9" s="1042">
        <v>0.0143</v>
      </c>
      <c r="F9" s="1046">
        <v>0.0345</v>
      </c>
      <c r="G9" s="609">
        <f>G10/G8</f>
        <v>0.008475825175101655</v>
      </c>
      <c r="H9" s="479"/>
    </row>
    <row r="10" spans="2:9" ht="13.5" thickBot="1">
      <c r="B10" s="7" t="s">
        <v>2315</v>
      </c>
      <c r="C10" s="489" t="s">
        <v>2323</v>
      </c>
      <c r="D10" s="492">
        <v>6.26</v>
      </c>
      <c r="E10" s="1043">
        <v>6.26</v>
      </c>
      <c r="F10" s="1047">
        <v>54.3</v>
      </c>
      <c r="G10" s="487">
        <f>'П1.17.1'!H47</f>
        <v>13.934638</v>
      </c>
      <c r="H10" s="480"/>
      <c r="I10" s="166"/>
    </row>
    <row r="12" spans="2:7" ht="39" customHeight="1">
      <c r="B12" s="1877" t="s">
        <v>2327</v>
      </c>
      <c r="C12" s="1878"/>
      <c r="D12" s="1878"/>
      <c r="E12" s="1878"/>
      <c r="F12" s="1878"/>
      <c r="G12" s="475"/>
    </row>
    <row r="13" spans="2:7" ht="39.75" customHeight="1">
      <c r="B13" s="1877" t="s">
        <v>2328</v>
      </c>
      <c r="C13" s="1878"/>
      <c r="D13" s="1878"/>
      <c r="E13" s="1878"/>
      <c r="F13" s="1878"/>
      <c r="G13" s="134"/>
    </row>
    <row r="14" ht="12.75">
      <c r="F14" s="134"/>
    </row>
    <row r="19" ht="12.75">
      <c r="G19" t="s">
        <v>493</v>
      </c>
    </row>
  </sheetData>
  <sheetProtection/>
  <mergeCells count="5">
    <mergeCell ref="B13:F13"/>
    <mergeCell ref="B2:C3"/>
    <mergeCell ref="D2:D3"/>
    <mergeCell ref="B12:F12"/>
    <mergeCell ref="F2:G3"/>
  </mergeCells>
  <printOptions horizontalCentered="1" verticalCentered="1"/>
  <pageMargins left="0.7874015748031497" right="0.15748031496062992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75" zoomScaleNormal="75" zoomScalePageLayoutView="0" workbookViewId="0" topLeftCell="A1">
      <selection activeCell="M51" sqref="M51"/>
    </sheetView>
  </sheetViews>
  <sheetFormatPr defaultColWidth="9.00390625" defaultRowHeight="12.75"/>
  <cols>
    <col min="2" max="2" width="23.00390625" style="0" customWidth="1"/>
    <col min="3" max="3" width="18.125" style="0" customWidth="1"/>
    <col min="4" max="4" width="19.375" style="0" customWidth="1"/>
    <col min="5" max="5" width="19.125" style="0" customWidth="1"/>
    <col min="6" max="6" width="18.00390625" style="0" customWidth="1"/>
    <col min="7" max="7" width="16.125" style="0" customWidth="1"/>
    <col min="8" max="8" width="14.375" style="0" customWidth="1"/>
    <col min="10" max="10" width="9.375" style="0" bestFit="1" customWidth="1"/>
  </cols>
  <sheetData>
    <row r="1" spans="1:2" ht="15.75" thickBot="1">
      <c r="A1" s="53"/>
      <c r="B1" s="607" t="s">
        <v>1195</v>
      </c>
    </row>
    <row r="2" spans="1:8" ht="12.75">
      <c r="A2" s="53"/>
      <c r="B2" s="1946" t="s">
        <v>172</v>
      </c>
      <c r="C2" s="1947"/>
      <c r="D2" s="1947"/>
      <c r="E2" s="1948"/>
      <c r="F2" s="14"/>
      <c r="G2" s="1952" t="s">
        <v>2334</v>
      </c>
      <c r="H2" s="1953"/>
    </row>
    <row r="3" spans="2:8" ht="13.5" thickBot="1">
      <c r="B3" s="1949"/>
      <c r="C3" s="1950"/>
      <c r="D3" s="1950"/>
      <c r="E3" s="1951"/>
      <c r="F3" s="42"/>
      <c r="G3" s="1954"/>
      <c r="H3" s="1955"/>
    </row>
    <row r="4" spans="2:8" ht="51.75" thickBot="1">
      <c r="B4" s="136"/>
      <c r="C4" s="439" t="s">
        <v>2340</v>
      </c>
      <c r="D4" s="439" t="s">
        <v>2317</v>
      </c>
      <c r="E4" s="439" t="s">
        <v>2341</v>
      </c>
      <c r="F4" s="439" t="s">
        <v>2345</v>
      </c>
      <c r="G4" s="439" t="s">
        <v>2346</v>
      </c>
      <c r="H4" s="590" t="s">
        <v>2347</v>
      </c>
    </row>
    <row r="5" spans="2:10" ht="27" customHeight="1">
      <c r="B5" s="436" t="s">
        <v>2335</v>
      </c>
      <c r="C5" s="602">
        <f>C6+C11</f>
        <v>0</v>
      </c>
      <c r="D5" s="602">
        <f>D6+D11</f>
        <v>0</v>
      </c>
      <c r="E5" s="602">
        <f>E6+E11</f>
        <v>0</v>
      </c>
      <c r="F5" s="602">
        <f>F6+F11</f>
        <v>0</v>
      </c>
      <c r="G5" s="602">
        <f>G6+G11</f>
        <v>0</v>
      </c>
      <c r="H5" s="594">
        <f>H11+H6</f>
        <v>0</v>
      </c>
      <c r="J5" s="453"/>
    </row>
    <row r="6" spans="2:14" ht="15">
      <c r="B6" s="455" t="s">
        <v>2336</v>
      </c>
      <c r="C6" s="599">
        <f>SUM(C7:C10)</f>
        <v>0</v>
      </c>
      <c r="D6" s="599">
        <f>SUM(D7:D10)</f>
        <v>0</v>
      </c>
      <c r="E6" s="599">
        <f>E8+E9+E10+E7</f>
        <v>0</v>
      </c>
      <c r="F6" s="600">
        <f aca="true" t="shared" si="0" ref="F6:F15">C6+D6-E6</f>
        <v>0</v>
      </c>
      <c r="G6" s="601">
        <f>(F6+C6)/2</f>
        <v>0</v>
      </c>
      <c r="H6" s="593">
        <f>SUM(H7:H10)</f>
        <v>0</v>
      </c>
      <c r="I6" s="256"/>
      <c r="J6" s="453"/>
      <c r="K6" s="509"/>
      <c r="L6" s="510"/>
      <c r="N6" s="251"/>
    </row>
    <row r="7" spans="2:14" ht="14.25">
      <c r="B7" s="367" t="s">
        <v>1560</v>
      </c>
      <c r="C7" s="595"/>
      <c r="D7" s="597"/>
      <c r="E7" s="595"/>
      <c r="F7" s="442">
        <f t="shared" si="0"/>
        <v>0</v>
      </c>
      <c r="G7" s="435">
        <f>(F7+C7)/2</f>
        <v>0</v>
      </c>
      <c r="H7" s="591"/>
      <c r="I7" s="256"/>
      <c r="J7" s="453"/>
      <c r="K7" s="509"/>
      <c r="L7" s="510"/>
      <c r="N7" s="253"/>
    </row>
    <row r="8" spans="2:14" ht="14.25">
      <c r="B8" s="367" t="s">
        <v>1561</v>
      </c>
      <c r="C8" s="595"/>
      <c r="D8" s="597"/>
      <c r="E8" s="595"/>
      <c r="F8" s="442">
        <f t="shared" si="0"/>
        <v>0</v>
      </c>
      <c r="G8" s="435">
        <f>(F8+C8)/2</f>
        <v>0</v>
      </c>
      <c r="H8" s="591"/>
      <c r="I8" s="256"/>
      <c r="J8" s="453"/>
      <c r="K8" s="509"/>
      <c r="L8" s="510"/>
      <c r="N8" s="253"/>
    </row>
    <row r="9" spans="2:14" ht="14.25">
      <c r="B9" s="367" t="s">
        <v>1562</v>
      </c>
      <c r="C9" s="595"/>
      <c r="D9" s="597"/>
      <c r="E9" s="595"/>
      <c r="F9" s="442">
        <f t="shared" si="0"/>
        <v>0</v>
      </c>
      <c r="G9" s="435">
        <f>(F9+C9)/2</f>
        <v>0</v>
      </c>
      <c r="H9" s="591"/>
      <c r="I9" s="256"/>
      <c r="J9" s="453"/>
      <c r="K9" s="509"/>
      <c r="L9" s="510"/>
      <c r="N9" s="253"/>
    </row>
    <row r="10" spans="2:14" ht="15" thickBot="1">
      <c r="B10" s="368" t="s">
        <v>1563</v>
      </c>
      <c r="C10" s="596"/>
      <c r="D10" s="598"/>
      <c r="E10" s="596"/>
      <c r="F10" s="449">
        <f t="shared" si="0"/>
        <v>0</v>
      </c>
      <c r="G10" s="454">
        <f>(F10+C10)/2</f>
        <v>0</v>
      </c>
      <c r="H10" s="592"/>
      <c r="I10" s="256"/>
      <c r="J10" s="453"/>
      <c r="K10" s="509"/>
      <c r="L10" s="510"/>
      <c r="N10" s="253"/>
    </row>
    <row r="11" spans="2:14" ht="15">
      <c r="B11" s="437" t="s">
        <v>2337</v>
      </c>
      <c r="C11" s="443">
        <f>C14+C15</f>
        <v>0</v>
      </c>
      <c r="D11" s="444">
        <f>SUM(D12:D15)</f>
        <v>0</v>
      </c>
      <c r="E11" s="444">
        <f>SUM(E12:E15)</f>
        <v>0</v>
      </c>
      <c r="F11" s="445">
        <f t="shared" si="0"/>
        <v>0</v>
      </c>
      <c r="G11" s="445">
        <f>(C11+F11)/2</f>
        <v>0</v>
      </c>
      <c r="H11" s="594">
        <f>SUM(H12:H15)</f>
        <v>0</v>
      </c>
      <c r="I11" s="256"/>
      <c r="J11" s="453"/>
      <c r="K11" s="509"/>
      <c r="L11" s="510"/>
      <c r="N11" s="253"/>
    </row>
    <row r="12" spans="2:14" ht="14.25">
      <c r="B12" s="367" t="s">
        <v>1560</v>
      </c>
      <c r="C12" s="595"/>
      <c r="D12" s="597"/>
      <c r="E12" s="595"/>
      <c r="F12" s="442">
        <f t="shared" si="0"/>
        <v>0</v>
      </c>
      <c r="G12" s="446"/>
      <c r="H12" s="591"/>
      <c r="I12" s="256"/>
      <c r="J12" s="453"/>
      <c r="K12" s="509"/>
      <c r="L12" s="510"/>
      <c r="N12" s="253"/>
    </row>
    <row r="13" spans="2:14" ht="14.25">
      <c r="B13" s="367" t="s">
        <v>1561</v>
      </c>
      <c r="C13" s="595"/>
      <c r="D13" s="597"/>
      <c r="E13" s="595"/>
      <c r="F13" s="442">
        <f t="shared" si="0"/>
        <v>0</v>
      </c>
      <c r="G13" s="446">
        <f>(C13+F13)/2</f>
        <v>0</v>
      </c>
      <c r="H13" s="591"/>
      <c r="I13" s="256"/>
      <c r="J13" s="453"/>
      <c r="K13" s="509"/>
      <c r="L13" s="510"/>
      <c r="N13" s="253"/>
    </row>
    <row r="14" spans="2:14" ht="14.25">
      <c r="B14" s="367" t="s">
        <v>1562</v>
      </c>
      <c r="C14" s="595"/>
      <c r="D14" s="597"/>
      <c r="E14" s="595"/>
      <c r="F14" s="442">
        <f t="shared" si="0"/>
        <v>0</v>
      </c>
      <c r="G14" s="446">
        <f>(C14+F14)/2</f>
        <v>0</v>
      </c>
      <c r="H14" s="811"/>
      <c r="I14" s="256"/>
      <c r="J14" s="453"/>
      <c r="K14" s="509"/>
      <c r="L14" s="510"/>
      <c r="N14" s="253"/>
    </row>
    <row r="15" spans="2:14" ht="15" thickBot="1">
      <c r="B15" s="368" t="s">
        <v>1563</v>
      </c>
      <c r="C15" s="596"/>
      <c r="D15" s="598"/>
      <c r="E15" s="596"/>
      <c r="F15" s="449">
        <f t="shared" si="0"/>
        <v>0</v>
      </c>
      <c r="G15" s="450">
        <f>(C15+F15)/2</f>
        <v>0</v>
      </c>
      <c r="H15" s="812"/>
      <c r="I15" s="256"/>
      <c r="J15" s="453"/>
      <c r="K15" s="509"/>
      <c r="L15" s="510"/>
      <c r="N15" s="253"/>
    </row>
    <row r="16" spans="2:14" ht="15">
      <c r="B16" s="808" t="s">
        <v>2338</v>
      </c>
      <c r="C16" s="809">
        <f>C17+C18+C19</f>
        <v>17856.58</v>
      </c>
      <c r="D16" s="809">
        <f>D17+D18+D19</f>
        <v>0</v>
      </c>
      <c r="E16" s="809">
        <f>E17+E19</f>
        <v>0</v>
      </c>
      <c r="F16" s="810">
        <f>SUM(F17:F20)</f>
        <v>18328.38</v>
      </c>
      <c r="G16" s="810">
        <v>1219.7</v>
      </c>
      <c r="H16" s="593">
        <f>SUM(H17:H20)</f>
        <v>484.58</v>
      </c>
      <c r="I16" s="256"/>
      <c r="J16" s="453"/>
      <c r="K16" s="509"/>
      <c r="L16" s="510"/>
      <c r="N16" s="253"/>
    </row>
    <row r="17" spans="2:14" ht="14.25">
      <c r="B17" s="367" t="s">
        <v>1560</v>
      </c>
      <c r="C17" s="595"/>
      <c r="D17" s="597">
        <v>0</v>
      </c>
      <c r="E17" s="595">
        <v>0</v>
      </c>
      <c r="F17" s="442"/>
      <c r="G17" s="446">
        <f aca="true" t="shared" si="1" ref="G17:G25">(C17+F17)/2</f>
        <v>0</v>
      </c>
      <c r="H17" s="591">
        <f>C17-F17</f>
        <v>0</v>
      </c>
      <c r="I17" s="256"/>
      <c r="J17" s="453"/>
      <c r="K17" s="509"/>
      <c r="L17" s="510"/>
      <c r="N17" s="253"/>
    </row>
    <row r="18" spans="2:14" ht="14.25">
      <c r="B18" s="367" t="s">
        <v>1561</v>
      </c>
      <c r="C18" s="595">
        <v>0</v>
      </c>
      <c r="D18" s="597">
        <v>0</v>
      </c>
      <c r="E18" s="595">
        <v>0</v>
      </c>
      <c r="F18" s="442">
        <f aca="true" t="shared" si="2" ref="F18:F25">C18+D18-E18</f>
        <v>0</v>
      </c>
      <c r="G18" s="446">
        <f t="shared" si="1"/>
        <v>0</v>
      </c>
      <c r="H18" s="591">
        <f>C18-F18</f>
        <v>0</v>
      </c>
      <c r="I18" s="256"/>
      <c r="J18" s="453"/>
      <c r="K18" s="509"/>
      <c r="L18" s="510"/>
      <c r="N18" s="253"/>
    </row>
    <row r="19" spans="2:14" ht="14.25">
      <c r="B19" s="367" t="s">
        <v>1562</v>
      </c>
      <c r="C19" s="595">
        <v>17856.58</v>
      </c>
      <c r="D19" s="597">
        <v>0</v>
      </c>
      <c r="E19" s="595">
        <v>0</v>
      </c>
      <c r="F19" s="442">
        <v>17856.58</v>
      </c>
      <c r="G19" s="446">
        <f t="shared" si="1"/>
        <v>17856.58</v>
      </c>
      <c r="H19" s="591">
        <v>484.58</v>
      </c>
      <c r="I19" s="256"/>
      <c r="J19" s="453"/>
      <c r="K19" s="509"/>
      <c r="L19" s="510"/>
      <c r="N19" s="253"/>
    </row>
    <row r="20" spans="2:14" ht="15" thickBot="1">
      <c r="B20" s="368" t="s">
        <v>1563</v>
      </c>
      <c r="C20" s="596">
        <v>471.8</v>
      </c>
      <c r="D20" s="598">
        <v>0</v>
      </c>
      <c r="E20" s="596">
        <v>0</v>
      </c>
      <c r="F20" s="449">
        <f t="shared" si="2"/>
        <v>471.8</v>
      </c>
      <c r="G20" s="450">
        <f t="shared" si="1"/>
        <v>471.8</v>
      </c>
      <c r="H20" s="591">
        <f>C20-F20</f>
        <v>0</v>
      </c>
      <c r="I20" s="256"/>
      <c r="J20" s="453"/>
      <c r="K20" s="509"/>
      <c r="L20" s="510"/>
      <c r="N20" s="253"/>
    </row>
    <row r="21" spans="2:14" ht="13.5" customHeight="1" thickBot="1">
      <c r="B21" s="438" t="s">
        <v>2339</v>
      </c>
      <c r="C21" s="603">
        <v>1573.7</v>
      </c>
      <c r="D21" s="604">
        <f>D5+D16</f>
        <v>0</v>
      </c>
      <c r="E21" s="603">
        <f>E5+E16</f>
        <v>0</v>
      </c>
      <c r="F21" s="605">
        <f t="shared" si="2"/>
        <v>1573.7</v>
      </c>
      <c r="G21" s="605">
        <f t="shared" si="1"/>
        <v>1573.7</v>
      </c>
      <c r="H21" s="606">
        <v>171.87</v>
      </c>
      <c r="I21" s="257"/>
      <c r="J21" s="453"/>
      <c r="K21" s="511"/>
      <c r="L21" s="510"/>
      <c r="N21" s="253"/>
    </row>
    <row r="22" spans="2:14" ht="14.25">
      <c r="B22" s="369" t="s">
        <v>1560</v>
      </c>
      <c r="C22" s="451">
        <f aca="true" t="shared" si="3" ref="C22:E25">C7+C12+C17</f>
        <v>0</v>
      </c>
      <c r="D22" s="452">
        <f t="shared" si="3"/>
        <v>0</v>
      </c>
      <c r="E22" s="452">
        <f t="shared" si="3"/>
        <v>0</v>
      </c>
      <c r="F22" s="446">
        <f t="shared" si="2"/>
        <v>0</v>
      </c>
      <c r="G22" s="446">
        <f t="shared" si="1"/>
        <v>0</v>
      </c>
      <c r="H22" s="591">
        <f>H7+H12+H17</f>
        <v>0</v>
      </c>
      <c r="I22" s="257"/>
      <c r="J22" s="453"/>
      <c r="K22" s="511"/>
      <c r="L22" s="510"/>
      <c r="N22" s="253"/>
    </row>
    <row r="23" spans="2:14" ht="14.25">
      <c r="B23" s="367" t="s">
        <v>1561</v>
      </c>
      <c r="C23" s="440">
        <f t="shared" si="3"/>
        <v>0</v>
      </c>
      <c r="D23" s="441">
        <f t="shared" si="3"/>
        <v>0</v>
      </c>
      <c r="E23" s="441">
        <f t="shared" si="3"/>
        <v>0</v>
      </c>
      <c r="F23" s="442">
        <f t="shared" si="2"/>
        <v>0</v>
      </c>
      <c r="G23" s="446">
        <f t="shared" si="1"/>
        <v>0</v>
      </c>
      <c r="H23" s="591">
        <f>H8+H13+H18</f>
        <v>0</v>
      </c>
      <c r="I23" s="257"/>
      <c r="J23" s="453"/>
      <c r="K23" s="512"/>
      <c r="L23" s="142"/>
      <c r="N23" s="253"/>
    </row>
    <row r="24" spans="2:14" ht="14.25">
      <c r="B24" s="367" t="s">
        <v>1562</v>
      </c>
      <c r="C24" s="440">
        <f t="shared" si="3"/>
        <v>17856.58</v>
      </c>
      <c r="D24" s="441">
        <f t="shared" si="3"/>
        <v>0</v>
      </c>
      <c r="E24" s="441">
        <f t="shared" si="3"/>
        <v>0</v>
      </c>
      <c r="F24" s="442">
        <f t="shared" si="2"/>
        <v>17856.58</v>
      </c>
      <c r="G24" s="446">
        <f t="shared" si="1"/>
        <v>17856.58</v>
      </c>
      <c r="H24" s="591">
        <v>171.87</v>
      </c>
      <c r="I24" s="257"/>
      <c r="J24" s="453"/>
      <c r="K24" s="512"/>
      <c r="L24" s="142"/>
      <c r="N24" s="253"/>
    </row>
    <row r="25" spans="2:14" ht="15" thickBot="1">
      <c r="B25" s="368" t="s">
        <v>1563</v>
      </c>
      <c r="C25" s="447">
        <v>1131.45</v>
      </c>
      <c r="D25" s="448">
        <f t="shared" si="3"/>
        <v>0</v>
      </c>
      <c r="E25" s="448">
        <f t="shared" si="3"/>
        <v>0</v>
      </c>
      <c r="F25" s="449">
        <f t="shared" si="2"/>
        <v>1131.45</v>
      </c>
      <c r="G25" s="450">
        <f t="shared" si="1"/>
        <v>1131.45</v>
      </c>
      <c r="H25" s="592">
        <f>H10+H15+H20</f>
        <v>0</v>
      </c>
      <c r="I25" s="257"/>
      <c r="J25" s="453"/>
      <c r="K25" s="512"/>
      <c r="L25" s="142"/>
      <c r="N25" s="255"/>
    </row>
    <row r="26" spans="2:14" ht="14.25">
      <c r="B26" s="167"/>
      <c r="C26" s="959"/>
      <c r="D26" s="959"/>
      <c r="E26" s="959"/>
      <c r="F26" s="959"/>
      <c r="G26" s="959"/>
      <c r="H26" s="959"/>
      <c r="I26" s="257"/>
      <c r="J26" s="453"/>
      <c r="K26" s="512"/>
      <c r="L26" s="142"/>
      <c r="N26" s="255"/>
    </row>
    <row r="27" spans="2:14" ht="16.5" thickBot="1">
      <c r="B27" s="608" t="s">
        <v>1194</v>
      </c>
      <c r="H27" s="958" t="s">
        <v>2320</v>
      </c>
      <c r="I27" s="257"/>
      <c r="J27" s="453"/>
      <c r="K27" s="512"/>
      <c r="L27" s="142"/>
      <c r="N27" s="255"/>
    </row>
    <row r="28" spans="2:14" ht="14.25">
      <c r="B28" s="1946" t="s">
        <v>172</v>
      </c>
      <c r="C28" s="1947"/>
      <c r="D28" s="1947"/>
      <c r="E28" s="1948"/>
      <c r="F28" s="14"/>
      <c r="G28" s="1952" t="s">
        <v>2334</v>
      </c>
      <c r="H28" s="1953"/>
      <c r="I28" s="257"/>
      <c r="J28" s="453"/>
      <c r="K28" s="512"/>
      <c r="L28" s="142"/>
      <c r="N28" s="255"/>
    </row>
    <row r="29" spans="2:14" ht="15" thickBot="1">
      <c r="B29" s="1949"/>
      <c r="C29" s="1950"/>
      <c r="D29" s="1950"/>
      <c r="E29" s="1951"/>
      <c r="F29" s="42"/>
      <c r="G29" s="1954"/>
      <c r="H29" s="1955"/>
      <c r="I29" s="257"/>
      <c r="J29" s="453"/>
      <c r="K29" s="512"/>
      <c r="L29" s="142"/>
      <c r="N29" s="255"/>
    </row>
    <row r="30" spans="2:14" ht="51.75" thickBot="1">
      <c r="B30" s="136"/>
      <c r="C30" s="439" t="s">
        <v>2340</v>
      </c>
      <c r="D30" s="439" t="s">
        <v>2317</v>
      </c>
      <c r="E30" s="439" t="s">
        <v>2341</v>
      </c>
      <c r="F30" s="439" t="s">
        <v>2345</v>
      </c>
      <c r="G30" s="439" t="s">
        <v>2346</v>
      </c>
      <c r="H30" s="590" t="s">
        <v>2347</v>
      </c>
      <c r="I30" s="257"/>
      <c r="J30" s="453"/>
      <c r="K30" s="512"/>
      <c r="L30" s="142"/>
      <c r="N30" s="255"/>
    </row>
    <row r="31" spans="2:14" ht="30">
      <c r="B31" s="436" t="s">
        <v>2335</v>
      </c>
      <c r="C31" s="602">
        <f>C32+C37</f>
        <v>856.782</v>
      </c>
      <c r="D31" s="602">
        <f>D32+D37</f>
        <v>0</v>
      </c>
      <c r="E31" s="602">
        <f>E32+E37</f>
        <v>0</v>
      </c>
      <c r="F31" s="602">
        <f>F32+F37</f>
        <v>856.782</v>
      </c>
      <c r="G31" s="602">
        <f>G32+G37</f>
        <v>856.782</v>
      </c>
      <c r="H31" s="594">
        <f>H37+H32</f>
        <v>9.574466</v>
      </c>
      <c r="I31" s="257"/>
      <c r="J31" s="453"/>
      <c r="K31" s="512"/>
      <c r="L31" s="142"/>
      <c r="N31" s="255"/>
    </row>
    <row r="32" spans="2:14" ht="15">
      <c r="B32" s="455" t="s">
        <v>2336</v>
      </c>
      <c r="C32" s="599">
        <f>SUM(C33:C36)</f>
        <v>0</v>
      </c>
      <c r="D32" s="599">
        <f>SUM(D33:D36)</f>
        <v>0</v>
      </c>
      <c r="E32" s="599">
        <f>E34+E35+E36+E33</f>
        <v>0</v>
      </c>
      <c r="F32" s="600">
        <f aca="true" t="shared" si="4" ref="F32:F46">C32+D32-E32</f>
        <v>0</v>
      </c>
      <c r="G32" s="601">
        <f>(F32+C32)/2</f>
        <v>0</v>
      </c>
      <c r="H32" s="593">
        <f>SUM(H33:H36)</f>
        <v>0</v>
      </c>
      <c r="I32" s="257"/>
      <c r="J32" s="453"/>
      <c r="K32" s="512"/>
      <c r="L32" s="142"/>
      <c r="N32" s="255"/>
    </row>
    <row r="33" spans="2:14" ht="14.25">
      <c r="B33" s="367" t="s">
        <v>1560</v>
      </c>
      <c r="C33" s="440"/>
      <c r="D33" s="441"/>
      <c r="E33" s="440"/>
      <c r="F33" s="442">
        <f t="shared" si="4"/>
        <v>0</v>
      </c>
      <c r="G33" s="435">
        <f>(F33+C33)/2</f>
        <v>0</v>
      </c>
      <c r="H33" s="591">
        <v>0</v>
      </c>
      <c r="I33" s="257"/>
      <c r="J33" s="453"/>
      <c r="K33" s="512"/>
      <c r="L33" s="142"/>
      <c r="N33" s="255"/>
    </row>
    <row r="34" spans="2:14" ht="14.25">
      <c r="B34" s="367" t="s">
        <v>1561</v>
      </c>
      <c r="C34" s="440"/>
      <c r="D34" s="441"/>
      <c r="E34" s="440"/>
      <c r="F34" s="442">
        <f t="shared" si="4"/>
        <v>0</v>
      </c>
      <c r="G34" s="435">
        <f>(F34+C34)/2</f>
        <v>0</v>
      </c>
      <c r="H34" s="591">
        <v>0</v>
      </c>
      <c r="I34" s="257"/>
      <c r="J34" s="453"/>
      <c r="K34" s="512"/>
      <c r="L34" s="142"/>
      <c r="N34" s="255"/>
    </row>
    <row r="35" spans="2:14" ht="14.25">
      <c r="B35" s="367" t="s">
        <v>1562</v>
      </c>
      <c r="C35" s="440"/>
      <c r="D35" s="441"/>
      <c r="E35" s="440"/>
      <c r="F35" s="442">
        <f t="shared" si="4"/>
        <v>0</v>
      </c>
      <c r="G35" s="435">
        <f>(F35+C35)/2</f>
        <v>0</v>
      </c>
      <c r="H35" s="591">
        <v>0</v>
      </c>
      <c r="I35" s="257"/>
      <c r="J35" s="453"/>
      <c r="K35" s="512"/>
      <c r="L35" s="142"/>
      <c r="N35" s="255"/>
    </row>
    <row r="36" spans="2:14" ht="15" thickBot="1">
      <c r="B36" s="368" t="s">
        <v>1563</v>
      </c>
      <c r="C36" s="447"/>
      <c r="D36" s="448"/>
      <c r="E36" s="447"/>
      <c r="F36" s="449">
        <f t="shared" si="4"/>
        <v>0</v>
      </c>
      <c r="G36" s="454">
        <f>(F36+C36)/2</f>
        <v>0</v>
      </c>
      <c r="H36" s="592">
        <v>0</v>
      </c>
      <c r="I36" s="257"/>
      <c r="J36" s="453"/>
      <c r="K36" s="512"/>
      <c r="L36" s="142"/>
      <c r="N36" s="255"/>
    </row>
    <row r="37" spans="2:14" ht="15">
      <c r="B37" s="437" t="s">
        <v>2337</v>
      </c>
      <c r="C37" s="443">
        <f>SUM(C38:C41)</f>
        <v>856.782</v>
      </c>
      <c r="D37" s="444">
        <f>SUM(D38:D41)</f>
        <v>0</v>
      </c>
      <c r="E37" s="444">
        <f>SUM(E38:E41)</f>
        <v>0</v>
      </c>
      <c r="F37" s="445">
        <f t="shared" si="4"/>
        <v>856.782</v>
      </c>
      <c r="G37" s="445">
        <f>(C37+F37)/2</f>
        <v>856.782</v>
      </c>
      <c r="H37" s="594">
        <f>H39+H40+H41</f>
        <v>9.574466</v>
      </c>
      <c r="I37" s="257"/>
      <c r="J37" s="453"/>
      <c r="K37" s="512"/>
      <c r="L37" s="142"/>
      <c r="N37" s="255"/>
    </row>
    <row r="38" spans="2:14" ht="14.25">
      <c r="B38" s="367" t="s">
        <v>1560</v>
      </c>
      <c r="C38" s="440"/>
      <c r="D38" s="441"/>
      <c r="E38" s="440"/>
      <c r="F38" s="442">
        <f t="shared" si="4"/>
        <v>0</v>
      </c>
      <c r="G38" s="446"/>
      <c r="H38" s="591"/>
      <c r="I38" s="257"/>
      <c r="J38" s="453"/>
      <c r="K38" s="512"/>
      <c r="L38" s="142"/>
      <c r="N38" s="255"/>
    </row>
    <row r="39" spans="2:14" ht="14.25">
      <c r="B39" s="367" t="s">
        <v>1561</v>
      </c>
      <c r="C39" s="440"/>
      <c r="D39" s="441"/>
      <c r="E39" s="440"/>
      <c r="F39" s="442">
        <f t="shared" si="4"/>
        <v>0</v>
      </c>
      <c r="G39" s="446">
        <f aca="true" t="shared" si="5" ref="G39:G46">(C39+F39)/2</f>
        <v>0</v>
      </c>
      <c r="H39" s="591">
        <f>G39*J39</f>
        <v>0</v>
      </c>
      <c r="I39" s="257"/>
      <c r="J39" s="453"/>
      <c r="K39" s="512"/>
      <c r="L39" s="142"/>
      <c r="N39" s="255"/>
    </row>
    <row r="40" spans="2:14" ht="14.25">
      <c r="B40" s="367" t="s">
        <v>1562</v>
      </c>
      <c r="C40" s="440">
        <f>330.154+88.762+130.574+65.546+142.071+43.87+55.805</f>
        <v>856.782</v>
      </c>
      <c r="D40" s="441"/>
      <c r="E40" s="440"/>
      <c r="F40" s="442">
        <f t="shared" si="4"/>
        <v>856.782</v>
      </c>
      <c r="G40" s="446">
        <f t="shared" si="5"/>
        <v>856.782</v>
      </c>
      <c r="H40" s="440">
        <f>330.154*2.9%</f>
        <v>9.574466</v>
      </c>
      <c r="I40" s="257"/>
      <c r="J40" s="453"/>
      <c r="K40" s="512"/>
      <c r="L40" s="142"/>
      <c r="N40" s="255"/>
    </row>
    <row r="41" spans="2:14" ht="15" thickBot="1">
      <c r="B41" s="368" t="s">
        <v>1563</v>
      </c>
      <c r="C41" s="447">
        <v>0</v>
      </c>
      <c r="D41" s="448"/>
      <c r="E41" s="447"/>
      <c r="F41" s="449">
        <f t="shared" si="4"/>
        <v>0</v>
      </c>
      <c r="G41" s="450">
        <f t="shared" si="5"/>
        <v>0</v>
      </c>
      <c r="H41" s="778">
        <v>0</v>
      </c>
      <c r="I41" s="257"/>
      <c r="J41" s="453"/>
      <c r="K41" s="512"/>
      <c r="L41" s="142"/>
      <c r="N41" s="255"/>
    </row>
    <row r="42" spans="2:14" ht="15">
      <c r="B42" s="436" t="s">
        <v>2338</v>
      </c>
      <c r="C42" s="443">
        <f>C43+C44+C45</f>
        <v>787.2629999999999</v>
      </c>
      <c r="D42" s="443">
        <f>D43+D44+D45</f>
        <v>0</v>
      </c>
      <c r="E42" s="443">
        <f>E43+E45</f>
        <v>0</v>
      </c>
      <c r="F42" s="445">
        <f t="shared" si="4"/>
        <v>787.2629999999999</v>
      </c>
      <c r="G42" s="445">
        <f t="shared" si="5"/>
        <v>787.2629999999999</v>
      </c>
      <c r="H42" s="594">
        <f>SUM(H43:H46)</f>
        <v>4.3601719999999995</v>
      </c>
      <c r="I42" s="257"/>
      <c r="J42" s="453"/>
      <c r="K42" s="512"/>
      <c r="L42" s="142"/>
      <c r="N42" s="255"/>
    </row>
    <row r="43" spans="2:14" ht="14.25">
      <c r="B43" s="367" t="s">
        <v>1560</v>
      </c>
      <c r="C43" s="440">
        <v>0</v>
      </c>
      <c r="D43" s="441">
        <v>0</v>
      </c>
      <c r="E43" s="440">
        <v>0</v>
      </c>
      <c r="F43" s="442">
        <f t="shared" si="4"/>
        <v>0</v>
      </c>
      <c r="G43" s="446">
        <f t="shared" si="5"/>
        <v>0</v>
      </c>
      <c r="H43" s="591"/>
      <c r="I43" s="257"/>
      <c r="J43" s="453"/>
      <c r="K43" s="512"/>
      <c r="L43" s="142"/>
      <c r="N43" s="255"/>
    </row>
    <row r="44" spans="2:14" ht="14.25">
      <c r="B44" s="367" t="s">
        <v>1561</v>
      </c>
      <c r="C44" s="440">
        <v>0</v>
      </c>
      <c r="D44" s="441">
        <v>0</v>
      </c>
      <c r="E44" s="440">
        <v>0</v>
      </c>
      <c r="F44" s="442">
        <f t="shared" si="4"/>
        <v>0</v>
      </c>
      <c r="G44" s="446">
        <f t="shared" si="5"/>
        <v>0</v>
      </c>
      <c r="H44" s="591">
        <f>G44*J44</f>
        <v>0</v>
      </c>
      <c r="I44" s="257"/>
      <c r="J44" s="453"/>
      <c r="K44" s="512"/>
      <c r="L44" s="142"/>
      <c r="N44" s="255"/>
    </row>
    <row r="45" spans="2:14" ht="14.25">
      <c r="B45" s="367" t="s">
        <v>1562</v>
      </c>
      <c r="C45" s="440">
        <f>(14.307+14.874+27.762+5.879+0.453*6+47.277+7.404+1.4*3)+(127.858+139.481+20.524*2+14.347+4.782+15.4+20.536*4+12.619*4+2.99+2.492+1.495+1.993*2+3.987+4.019+13.177+17.932+2.96*2+14.874+27.758+6.151+5.974*2+49.395+1.634*2+0.197+0.4*2+7.1475*2+1.311*2)</f>
        <v>787.2629999999999</v>
      </c>
      <c r="D45" s="441">
        <v>0</v>
      </c>
      <c r="E45" s="440">
        <v>0</v>
      </c>
      <c r="F45" s="442">
        <f t="shared" si="4"/>
        <v>787.2629999999999</v>
      </c>
      <c r="G45" s="446">
        <f t="shared" si="5"/>
        <v>787.2629999999999</v>
      </c>
      <c r="H45" s="440">
        <f>(14.307+14.874+27.762+5.879)*2.8%+(0.453*6+47.277+7.404)*4.4%+1.4*3*1.8%</f>
        <v>4.3601719999999995</v>
      </c>
      <c r="I45" s="257"/>
      <c r="J45" s="453"/>
      <c r="K45" s="512"/>
      <c r="L45" s="142"/>
      <c r="N45" s="255"/>
    </row>
    <row r="46" spans="2:14" ht="15" thickBot="1">
      <c r="B46" s="368" t="s">
        <v>1563</v>
      </c>
      <c r="C46" s="447">
        <v>0</v>
      </c>
      <c r="D46" s="448">
        <v>0</v>
      </c>
      <c r="E46" s="447">
        <v>0</v>
      </c>
      <c r="F46" s="449">
        <f t="shared" si="4"/>
        <v>0</v>
      </c>
      <c r="G46" s="450">
        <f t="shared" si="5"/>
        <v>0</v>
      </c>
      <c r="H46" s="592">
        <f>G46*J46</f>
        <v>0</v>
      </c>
      <c r="I46" s="257"/>
      <c r="J46" s="453"/>
      <c r="K46" s="512"/>
      <c r="L46" s="142"/>
      <c r="N46" s="255"/>
    </row>
    <row r="47" spans="2:14" ht="30.75" thickBot="1">
      <c r="B47" s="438" t="s">
        <v>2339</v>
      </c>
      <c r="C47" s="603">
        <f>C42+C31</f>
        <v>1644.045</v>
      </c>
      <c r="D47" s="604">
        <f>D31+D42</f>
        <v>0</v>
      </c>
      <c r="E47" s="603">
        <f>E31+E42</f>
        <v>0</v>
      </c>
      <c r="F47" s="605">
        <f>C47+D47-E47</f>
        <v>1644.045</v>
      </c>
      <c r="G47" s="605">
        <f>(C47+F47)/2</f>
        <v>1644.045</v>
      </c>
      <c r="H47" s="606">
        <f>H48+H49+H50+H51</f>
        <v>13.934638</v>
      </c>
      <c r="I47" s="257"/>
      <c r="J47" s="453"/>
      <c r="K47" s="512"/>
      <c r="L47" s="142"/>
      <c r="N47" s="255"/>
    </row>
    <row r="48" spans="2:14" ht="14.25">
      <c r="B48" s="369" t="s">
        <v>1560</v>
      </c>
      <c r="C48" s="451">
        <f aca="true" t="shared" si="6" ref="C48:E51">C33+C38+C43</f>
        <v>0</v>
      </c>
      <c r="D48" s="452">
        <f t="shared" si="6"/>
        <v>0</v>
      </c>
      <c r="E48" s="452">
        <f t="shared" si="6"/>
        <v>0</v>
      </c>
      <c r="F48" s="446">
        <f>C48+D48-E48</f>
        <v>0</v>
      </c>
      <c r="G48" s="446">
        <f>(C48+F48)/2</f>
        <v>0</v>
      </c>
      <c r="H48" s="591">
        <f>H33+H38+H43</f>
        <v>0</v>
      </c>
      <c r="I48" s="257"/>
      <c r="J48" s="453"/>
      <c r="K48" s="512"/>
      <c r="L48" s="142"/>
      <c r="N48" s="255"/>
    </row>
    <row r="49" spans="2:14" ht="14.25">
      <c r="B49" s="367" t="s">
        <v>1561</v>
      </c>
      <c r="C49" s="440">
        <f t="shared" si="6"/>
        <v>0</v>
      </c>
      <c r="D49" s="441">
        <f t="shared" si="6"/>
        <v>0</v>
      </c>
      <c r="E49" s="441">
        <f t="shared" si="6"/>
        <v>0</v>
      </c>
      <c r="F49" s="442">
        <f>C49+D49-E49</f>
        <v>0</v>
      </c>
      <c r="G49" s="446">
        <f>(C49+F49)/2</f>
        <v>0</v>
      </c>
      <c r="H49" s="591">
        <f>H34+H39+H44</f>
        <v>0</v>
      </c>
      <c r="I49" s="257"/>
      <c r="J49" s="453"/>
      <c r="K49" s="512"/>
      <c r="L49" s="142"/>
      <c r="N49" s="255"/>
    </row>
    <row r="50" spans="2:14" ht="14.25">
      <c r="B50" s="367" t="s">
        <v>1562</v>
      </c>
      <c r="C50" s="440">
        <f t="shared" si="6"/>
        <v>1644.045</v>
      </c>
      <c r="D50" s="441">
        <f t="shared" si="6"/>
        <v>0</v>
      </c>
      <c r="E50" s="441">
        <f t="shared" si="6"/>
        <v>0</v>
      </c>
      <c r="F50" s="442">
        <f>C50+D50-E50</f>
        <v>1644.045</v>
      </c>
      <c r="G50" s="446">
        <f>(C50+F50)/2</f>
        <v>1644.045</v>
      </c>
      <c r="H50" s="591">
        <f>H35+H40+H45</f>
        <v>13.934638</v>
      </c>
      <c r="I50" s="257"/>
      <c r="J50" s="453"/>
      <c r="K50" s="512"/>
      <c r="L50" s="142"/>
      <c r="N50" s="255"/>
    </row>
    <row r="51" spans="2:14" ht="15" thickBot="1">
      <c r="B51" s="368" t="s">
        <v>1563</v>
      </c>
      <c r="C51" s="447">
        <f t="shared" si="6"/>
        <v>0</v>
      </c>
      <c r="D51" s="448">
        <f t="shared" si="6"/>
        <v>0</v>
      </c>
      <c r="E51" s="448">
        <f t="shared" si="6"/>
        <v>0</v>
      </c>
      <c r="F51" s="449">
        <f>C51+D51-E51</f>
        <v>0</v>
      </c>
      <c r="G51" s="450">
        <f>(C51+F51)/2</f>
        <v>0</v>
      </c>
      <c r="H51" s="592">
        <f>H36+H41+H46</f>
        <v>0</v>
      </c>
      <c r="I51" s="257"/>
      <c r="J51" s="453"/>
      <c r="K51" s="512"/>
      <c r="L51" s="142"/>
      <c r="N51" s="255"/>
    </row>
    <row r="52" spans="2:14" ht="14.25">
      <c r="B52" s="167"/>
      <c r="C52" s="959"/>
      <c r="D52" s="959"/>
      <c r="E52" s="959"/>
      <c r="F52" s="959"/>
      <c r="G52" s="959"/>
      <c r="H52" s="959"/>
      <c r="I52" s="257"/>
      <c r="J52" s="453"/>
      <c r="K52" s="512"/>
      <c r="L52" s="142"/>
      <c r="N52" s="255"/>
    </row>
    <row r="53" spans="2:14" ht="16.5" thickBot="1">
      <c r="B53" s="608" t="s">
        <v>1258</v>
      </c>
      <c r="H53" s="958" t="s">
        <v>2320</v>
      </c>
      <c r="I53" s="257"/>
      <c r="J53" s="453"/>
      <c r="K53" s="512"/>
      <c r="L53" s="142"/>
      <c r="N53" s="255"/>
    </row>
    <row r="54" spans="2:14" ht="14.25">
      <c r="B54" s="1946" t="s">
        <v>172</v>
      </c>
      <c r="C54" s="1947"/>
      <c r="D54" s="1947"/>
      <c r="E54" s="1948"/>
      <c r="F54" s="14"/>
      <c r="G54" s="1952" t="s">
        <v>2334</v>
      </c>
      <c r="H54" s="1953"/>
      <c r="I54" s="257"/>
      <c r="J54" s="453"/>
      <c r="K54" s="512"/>
      <c r="L54" s="142"/>
      <c r="N54" s="255"/>
    </row>
    <row r="55" spans="2:14" ht="15" thickBot="1">
      <c r="B55" s="1949"/>
      <c r="C55" s="1950"/>
      <c r="D55" s="1950"/>
      <c r="E55" s="1951"/>
      <c r="F55" s="42"/>
      <c r="G55" s="1954"/>
      <c r="H55" s="1955"/>
      <c r="I55" s="257"/>
      <c r="J55" s="453"/>
      <c r="K55" s="512"/>
      <c r="L55" s="142"/>
      <c r="N55" s="255"/>
    </row>
    <row r="56" spans="2:14" ht="51.75" thickBot="1">
      <c r="B56" s="136"/>
      <c r="C56" s="439" t="s">
        <v>2340</v>
      </c>
      <c r="D56" s="439" t="s">
        <v>2317</v>
      </c>
      <c r="E56" s="439" t="s">
        <v>2341</v>
      </c>
      <c r="F56" s="439" t="s">
        <v>2345</v>
      </c>
      <c r="G56" s="439" t="s">
        <v>2346</v>
      </c>
      <c r="H56" s="590" t="s">
        <v>2347</v>
      </c>
      <c r="I56" s="257"/>
      <c r="J56" s="453"/>
      <c r="K56" s="512"/>
      <c r="L56" s="142"/>
      <c r="N56" s="255"/>
    </row>
    <row r="57" spans="2:14" ht="30">
      <c r="B57" s="436" t="s">
        <v>2335</v>
      </c>
      <c r="C57" s="602">
        <f>C58+C63</f>
        <v>330.154</v>
      </c>
      <c r="D57" s="602">
        <f>D58+D63</f>
        <v>0</v>
      </c>
      <c r="E57" s="602">
        <f>E58+E63</f>
        <v>0</v>
      </c>
      <c r="F57" s="602">
        <f>F58+F63</f>
        <v>330.154</v>
      </c>
      <c r="G57" s="602">
        <f>G58+G63</f>
        <v>330.154</v>
      </c>
      <c r="H57" s="594">
        <f>H63+H58</f>
        <v>3.3000000000000003</v>
      </c>
      <c r="I57" s="257"/>
      <c r="J57" s="453"/>
      <c r="K57" s="512"/>
      <c r="L57" s="142"/>
      <c r="N57" s="255"/>
    </row>
    <row r="58" spans="2:14" ht="15">
      <c r="B58" s="455" t="s">
        <v>2336</v>
      </c>
      <c r="C58" s="599">
        <f>SUM(C59:C62)</f>
        <v>0</v>
      </c>
      <c r="D58" s="599">
        <f>SUM(D59:D62)</f>
        <v>0</v>
      </c>
      <c r="E58" s="599">
        <f>E60+E61+E62+E59</f>
        <v>0</v>
      </c>
      <c r="F58" s="600">
        <f aca="true" t="shared" si="7" ref="F58:F72">C58+D58-E58</f>
        <v>0</v>
      </c>
      <c r="G58" s="601">
        <f>(F58+C58)/2</f>
        <v>0</v>
      </c>
      <c r="H58" s="593">
        <f>SUM(H59:H62)</f>
        <v>0</v>
      </c>
      <c r="I58" s="257"/>
      <c r="J58" s="453"/>
      <c r="K58" s="512"/>
      <c r="L58" s="142"/>
      <c r="N58" s="255"/>
    </row>
    <row r="59" spans="2:14" ht="14.25">
      <c r="B59" s="367" t="s">
        <v>1560</v>
      </c>
      <c r="C59" s="440"/>
      <c r="D59" s="441"/>
      <c r="E59" s="440"/>
      <c r="F59" s="442">
        <f t="shared" si="7"/>
        <v>0</v>
      </c>
      <c r="G59" s="435">
        <f>(F59+C59)/2</f>
        <v>0</v>
      </c>
      <c r="H59" s="591">
        <v>0</v>
      </c>
      <c r="I59" s="257"/>
      <c r="J59" s="453"/>
      <c r="K59" s="512"/>
      <c r="L59" s="142"/>
      <c r="N59" s="255"/>
    </row>
    <row r="60" spans="2:14" ht="14.25">
      <c r="B60" s="367" t="s">
        <v>1561</v>
      </c>
      <c r="C60" s="440"/>
      <c r="D60" s="441"/>
      <c r="E60" s="440"/>
      <c r="F60" s="442">
        <f t="shared" si="7"/>
        <v>0</v>
      </c>
      <c r="G60" s="435">
        <f>(F60+C60)/2</f>
        <v>0</v>
      </c>
      <c r="H60" s="591">
        <v>0</v>
      </c>
      <c r="I60" s="257"/>
      <c r="J60" s="453"/>
      <c r="K60" s="512"/>
      <c r="L60" s="142"/>
      <c r="N60" s="255"/>
    </row>
    <row r="61" spans="2:14" ht="14.25">
      <c r="B61" s="367" t="s">
        <v>1562</v>
      </c>
      <c r="C61" s="440"/>
      <c r="D61" s="441"/>
      <c r="E61" s="440"/>
      <c r="F61" s="442">
        <f t="shared" si="7"/>
        <v>0</v>
      </c>
      <c r="G61" s="435">
        <f>(F61+C61)/2</f>
        <v>0</v>
      </c>
      <c r="H61" s="591">
        <v>0</v>
      </c>
      <c r="I61" s="257"/>
      <c r="J61" s="453"/>
      <c r="K61" s="512"/>
      <c r="L61" s="142"/>
      <c r="N61" s="255"/>
    </row>
    <row r="62" spans="2:14" ht="15" thickBot="1">
      <c r="B62" s="368" t="s">
        <v>1563</v>
      </c>
      <c r="C62" s="447"/>
      <c r="D62" s="448"/>
      <c r="E62" s="447"/>
      <c r="F62" s="449">
        <f t="shared" si="7"/>
        <v>0</v>
      </c>
      <c r="G62" s="454">
        <f>(F62+C62)/2</f>
        <v>0</v>
      </c>
      <c r="H62" s="592">
        <v>0</v>
      </c>
      <c r="I62" s="257"/>
      <c r="J62" s="453"/>
      <c r="K62" s="512"/>
      <c r="L62" s="142"/>
      <c r="N62" s="255"/>
    </row>
    <row r="63" spans="2:14" ht="15">
      <c r="B63" s="437" t="s">
        <v>2337</v>
      </c>
      <c r="C63" s="443">
        <f>SUM(C64:C67)</f>
        <v>330.154</v>
      </c>
      <c r="D63" s="444">
        <f>SUM(D64:D67)</f>
        <v>0</v>
      </c>
      <c r="E63" s="444">
        <f>SUM(E64:E67)</f>
        <v>0</v>
      </c>
      <c r="F63" s="445">
        <f t="shared" si="7"/>
        <v>330.154</v>
      </c>
      <c r="G63" s="445">
        <f>(C63+F63)/2</f>
        <v>330.154</v>
      </c>
      <c r="H63" s="594">
        <f>H65+H66+H67</f>
        <v>3.3000000000000003</v>
      </c>
      <c r="I63" s="257"/>
      <c r="J63" s="453"/>
      <c r="K63" s="512"/>
      <c r="L63" s="142"/>
      <c r="N63" s="255"/>
    </row>
    <row r="64" spans="2:14" ht="14.25">
      <c r="B64" s="367" t="s">
        <v>1560</v>
      </c>
      <c r="C64" s="440"/>
      <c r="D64" s="441"/>
      <c r="E64" s="440"/>
      <c r="F64" s="442">
        <f t="shared" si="7"/>
        <v>0</v>
      </c>
      <c r="G64" s="446"/>
      <c r="H64" s="591"/>
      <c r="I64" s="257"/>
      <c r="J64" s="453"/>
      <c r="K64" s="512"/>
      <c r="L64" s="142"/>
      <c r="N64" s="255"/>
    </row>
    <row r="65" spans="2:14" ht="14.25">
      <c r="B65" s="367" t="s">
        <v>1561</v>
      </c>
      <c r="C65" s="440"/>
      <c r="D65" s="441"/>
      <c r="E65" s="440"/>
      <c r="F65" s="442">
        <f t="shared" si="7"/>
        <v>0</v>
      </c>
      <c r="G65" s="446">
        <f aca="true" t="shared" si="8" ref="G65:G72">(C65+F65)/2</f>
        <v>0</v>
      </c>
      <c r="H65" s="591">
        <f>G65*J65</f>
        <v>0</v>
      </c>
      <c r="I65" s="257"/>
      <c r="J65" s="453"/>
      <c r="K65" s="512"/>
      <c r="L65" s="142"/>
      <c r="N65" s="255"/>
    </row>
    <row r="66" spans="2:14" ht="14.25">
      <c r="B66" s="367" t="s">
        <v>1562</v>
      </c>
      <c r="C66" s="440">
        <f>330.154</f>
        <v>330.154</v>
      </c>
      <c r="D66" s="441"/>
      <c r="E66" s="440"/>
      <c r="F66" s="442">
        <f t="shared" si="7"/>
        <v>330.154</v>
      </c>
      <c r="G66" s="446">
        <f t="shared" si="8"/>
        <v>330.154</v>
      </c>
      <c r="H66" s="777">
        <f>0.275*12</f>
        <v>3.3000000000000003</v>
      </c>
      <c r="I66" s="257"/>
      <c r="J66" s="453"/>
      <c r="K66" s="512"/>
      <c r="L66" s="142"/>
      <c r="N66" s="255"/>
    </row>
    <row r="67" spans="2:14" ht="15" thickBot="1">
      <c r="B67" s="368" t="s">
        <v>1563</v>
      </c>
      <c r="C67" s="447">
        <v>0</v>
      </c>
      <c r="D67" s="448"/>
      <c r="E67" s="447"/>
      <c r="F67" s="449">
        <f t="shared" si="7"/>
        <v>0</v>
      </c>
      <c r="G67" s="450">
        <f t="shared" si="8"/>
        <v>0</v>
      </c>
      <c r="H67" s="778">
        <v>0</v>
      </c>
      <c r="I67" s="257"/>
      <c r="J67" s="453"/>
      <c r="K67" s="512"/>
      <c r="L67" s="142"/>
      <c r="N67" s="255"/>
    </row>
    <row r="68" spans="2:14" ht="15">
      <c r="B68" s="436" t="s">
        <v>2338</v>
      </c>
      <c r="C68" s="443">
        <f>C69+C70+C71</f>
        <v>109.159</v>
      </c>
      <c r="D68" s="443">
        <f>D69+D70+D71</f>
        <v>0</v>
      </c>
      <c r="E68" s="443">
        <f>E69+E71</f>
        <v>0</v>
      </c>
      <c r="F68" s="445">
        <f t="shared" si="7"/>
        <v>109.159</v>
      </c>
      <c r="G68" s="445">
        <f t="shared" si="8"/>
        <v>109.159</v>
      </c>
      <c r="H68" s="594">
        <f>SUM(H69:H72)</f>
        <v>2.964</v>
      </c>
      <c r="I68" s="257"/>
      <c r="J68" s="453"/>
      <c r="K68" s="512"/>
      <c r="L68" s="142"/>
      <c r="N68" s="255"/>
    </row>
    <row r="69" spans="2:14" ht="14.25">
      <c r="B69" s="367" t="s">
        <v>1560</v>
      </c>
      <c r="C69" s="440">
        <v>0</v>
      </c>
      <c r="D69" s="441">
        <v>0</v>
      </c>
      <c r="E69" s="440">
        <v>0</v>
      </c>
      <c r="F69" s="442">
        <f t="shared" si="7"/>
        <v>0</v>
      </c>
      <c r="G69" s="446">
        <f t="shared" si="8"/>
        <v>0</v>
      </c>
      <c r="H69" s="591"/>
      <c r="I69" s="257"/>
      <c r="J69" s="453"/>
      <c r="K69" s="512"/>
      <c r="L69" s="142"/>
      <c r="N69" s="255"/>
    </row>
    <row r="70" spans="2:14" ht="14.25">
      <c r="B70" s="367" t="s">
        <v>1561</v>
      </c>
      <c r="C70" s="440">
        <v>0</v>
      </c>
      <c r="D70" s="441">
        <v>0</v>
      </c>
      <c r="E70" s="440">
        <v>0</v>
      </c>
      <c r="F70" s="442">
        <f t="shared" si="7"/>
        <v>0</v>
      </c>
      <c r="G70" s="446">
        <f t="shared" si="8"/>
        <v>0</v>
      </c>
      <c r="H70" s="591">
        <f>G70*J70</f>
        <v>0</v>
      </c>
      <c r="I70" s="257"/>
      <c r="J70" s="453"/>
      <c r="K70" s="512"/>
      <c r="L70" s="142"/>
      <c r="N70" s="255"/>
    </row>
    <row r="71" spans="2:14" ht="14.25">
      <c r="B71" s="367" t="s">
        <v>1562</v>
      </c>
      <c r="C71" s="440">
        <f>14.307+14.874+14.874+17.827+47.277</f>
        <v>109.159</v>
      </c>
      <c r="D71" s="441">
        <v>0</v>
      </c>
      <c r="E71" s="440">
        <v>0</v>
      </c>
      <c r="F71" s="442">
        <f t="shared" si="7"/>
        <v>109.159</v>
      </c>
      <c r="G71" s="446">
        <f t="shared" si="8"/>
        <v>109.159</v>
      </c>
      <c r="H71" s="777">
        <f>(0.021+0.022+0.022+0.009+0.173)*12</f>
        <v>2.964</v>
      </c>
      <c r="I71" s="257"/>
      <c r="J71" s="453"/>
      <c r="K71" s="512"/>
      <c r="L71" s="142"/>
      <c r="N71" s="255"/>
    </row>
    <row r="72" spans="2:14" ht="15" thickBot="1">
      <c r="B72" s="368" t="s">
        <v>1563</v>
      </c>
      <c r="C72" s="447">
        <v>0</v>
      </c>
      <c r="D72" s="448">
        <v>0</v>
      </c>
      <c r="E72" s="447">
        <v>0</v>
      </c>
      <c r="F72" s="449">
        <f t="shared" si="7"/>
        <v>0</v>
      </c>
      <c r="G72" s="450">
        <f t="shared" si="8"/>
        <v>0</v>
      </c>
      <c r="H72" s="592">
        <f>G72*J72</f>
        <v>0</v>
      </c>
      <c r="I72" s="257"/>
      <c r="J72" s="453"/>
      <c r="K72" s="512"/>
      <c r="L72" s="142"/>
      <c r="N72" s="255"/>
    </row>
    <row r="73" spans="2:14" ht="30.75" thickBot="1">
      <c r="B73" s="438" t="s">
        <v>2339</v>
      </c>
      <c r="C73" s="603">
        <f>C68+C57</f>
        <v>439.313</v>
      </c>
      <c r="D73" s="604">
        <f>D57+D68</f>
        <v>0</v>
      </c>
      <c r="E73" s="603">
        <f>E57+E68</f>
        <v>0</v>
      </c>
      <c r="F73" s="605">
        <f>C73+D73-E73</f>
        <v>439.313</v>
      </c>
      <c r="G73" s="605">
        <f>(C73+F73)/2</f>
        <v>439.313</v>
      </c>
      <c r="H73" s="606">
        <f>H74+H75+H76+H77</f>
        <v>6.264</v>
      </c>
      <c r="I73" s="257"/>
      <c r="J73" s="453"/>
      <c r="K73" s="512"/>
      <c r="L73" s="142"/>
      <c r="N73" s="255"/>
    </row>
    <row r="74" spans="2:14" ht="14.25">
      <c r="B74" s="369" t="s">
        <v>1560</v>
      </c>
      <c r="C74" s="451">
        <f aca="true" t="shared" si="9" ref="C74:E77">C59+C64+C69</f>
        <v>0</v>
      </c>
      <c r="D74" s="452">
        <f t="shared" si="9"/>
        <v>0</v>
      </c>
      <c r="E74" s="452">
        <f t="shared" si="9"/>
        <v>0</v>
      </c>
      <c r="F74" s="446">
        <f>C74+D74-E74</f>
        <v>0</v>
      </c>
      <c r="G74" s="446">
        <f>(C74+F74)/2</f>
        <v>0</v>
      </c>
      <c r="H74" s="591">
        <f>H59+H64+H69</f>
        <v>0</v>
      </c>
      <c r="I74" s="257"/>
      <c r="J74" s="453"/>
      <c r="K74" s="512"/>
      <c r="L74" s="142"/>
      <c r="N74" s="255"/>
    </row>
    <row r="75" spans="2:14" ht="14.25">
      <c r="B75" s="367" t="s">
        <v>1561</v>
      </c>
      <c r="C75" s="440">
        <f t="shared" si="9"/>
        <v>0</v>
      </c>
      <c r="D75" s="441">
        <f t="shared" si="9"/>
        <v>0</v>
      </c>
      <c r="E75" s="441">
        <f t="shared" si="9"/>
        <v>0</v>
      </c>
      <c r="F75" s="442">
        <f>C75+D75-E75</f>
        <v>0</v>
      </c>
      <c r="G75" s="446">
        <f>(C75+F75)/2</f>
        <v>0</v>
      </c>
      <c r="H75" s="591">
        <f>H60+H65+H70</f>
        <v>0</v>
      </c>
      <c r="I75" s="257"/>
      <c r="J75" s="453"/>
      <c r="K75" s="512"/>
      <c r="L75" s="142"/>
      <c r="N75" s="255"/>
    </row>
    <row r="76" spans="2:8" ht="12.75">
      <c r="B76" s="367" t="s">
        <v>1562</v>
      </c>
      <c r="C76" s="440">
        <f t="shared" si="9"/>
        <v>439.313</v>
      </c>
      <c r="D76" s="441">
        <f t="shared" si="9"/>
        <v>0</v>
      </c>
      <c r="E76" s="441">
        <f t="shared" si="9"/>
        <v>0</v>
      </c>
      <c r="F76" s="442">
        <f>C76+D76-E76</f>
        <v>439.313</v>
      </c>
      <c r="G76" s="446">
        <f>(C76+F76)/2</f>
        <v>439.313</v>
      </c>
      <c r="H76" s="591">
        <f>H61+H66+H71</f>
        <v>6.264</v>
      </c>
    </row>
    <row r="77" spans="2:8" ht="13.5" thickBot="1">
      <c r="B77" s="368" t="s">
        <v>1563</v>
      </c>
      <c r="C77" s="447">
        <f t="shared" si="9"/>
        <v>0</v>
      </c>
      <c r="D77" s="448">
        <f t="shared" si="9"/>
        <v>0</v>
      </c>
      <c r="E77" s="448">
        <f t="shared" si="9"/>
        <v>0</v>
      </c>
      <c r="F77" s="449">
        <f>C77+D77-E77</f>
        <v>0</v>
      </c>
      <c r="G77" s="450">
        <f>(C77+F77)/2</f>
        <v>0</v>
      </c>
      <c r="H77" s="592">
        <f>H62+H67+H72</f>
        <v>0</v>
      </c>
    </row>
    <row r="80" spans="1:8" ht="16.5" thickBot="1">
      <c r="A80" s="53"/>
      <c r="B80" s="608" t="s">
        <v>1259</v>
      </c>
      <c r="G80">
        <v>2008</v>
      </c>
      <c r="H80" s="958" t="s">
        <v>2320</v>
      </c>
    </row>
    <row r="81" spans="2:8" ht="12.75" customHeight="1">
      <c r="B81" s="1946" t="s">
        <v>172</v>
      </c>
      <c r="C81" s="1947"/>
      <c r="D81" s="1947"/>
      <c r="E81" s="1948"/>
      <c r="F81" s="14"/>
      <c r="G81" s="1952" t="s">
        <v>2334</v>
      </c>
      <c r="H81" s="1953"/>
    </row>
    <row r="82" spans="2:8" ht="13.5" thickBot="1">
      <c r="B82" s="1949"/>
      <c r="C82" s="1950"/>
      <c r="D82" s="1950"/>
      <c r="E82" s="1951"/>
      <c r="F82" s="42"/>
      <c r="G82" s="1954"/>
      <c r="H82" s="1955"/>
    </row>
    <row r="83" spans="2:8" ht="51.75" thickBot="1">
      <c r="B83" s="136"/>
      <c r="C83" s="439" t="s">
        <v>2340</v>
      </c>
      <c r="D83" s="439" t="s">
        <v>2317</v>
      </c>
      <c r="E83" s="439" t="s">
        <v>2341</v>
      </c>
      <c r="F83" s="439" t="s">
        <v>2345</v>
      </c>
      <c r="G83" s="439" t="s">
        <v>2346</v>
      </c>
      <c r="H83" s="590" t="s">
        <v>2347</v>
      </c>
    </row>
    <row r="84" spans="2:8" ht="30">
      <c r="B84" s="436" t="s">
        <v>2335</v>
      </c>
      <c r="C84" s="602">
        <f>C85+C90</f>
        <v>330.154</v>
      </c>
      <c r="D84" s="602">
        <f>D85+D90</f>
        <v>0</v>
      </c>
      <c r="E84" s="602">
        <f>E85+E90</f>
        <v>0</v>
      </c>
      <c r="F84" s="602">
        <f>F85+F90</f>
        <v>330.154</v>
      </c>
      <c r="G84" s="602">
        <f>G85+G90</f>
        <v>330.154</v>
      </c>
      <c r="H84" s="594">
        <f>H90+H85</f>
        <v>3.3000000000000003</v>
      </c>
    </row>
    <row r="85" spans="2:10" ht="15">
      <c r="B85" s="455" t="s">
        <v>2336</v>
      </c>
      <c r="C85" s="599">
        <f>SUM(C86:C89)</f>
        <v>0</v>
      </c>
      <c r="D85" s="599">
        <f>SUM(D86:D89)</f>
        <v>0</v>
      </c>
      <c r="E85" s="599">
        <f>E87+E88+E89+E86</f>
        <v>0</v>
      </c>
      <c r="F85" s="600">
        <f aca="true" t="shared" si="10" ref="F85:F99">C85+D85-E85</f>
        <v>0</v>
      </c>
      <c r="G85" s="601">
        <f>(F85+C85)/2</f>
        <v>0</v>
      </c>
      <c r="H85" s="593">
        <f>SUM(H86:H89)</f>
        <v>0</v>
      </c>
      <c r="J85" s="250"/>
    </row>
    <row r="86" spans="2:10" ht="12.75">
      <c r="B86" s="367" t="s">
        <v>1560</v>
      </c>
      <c r="C86" s="440"/>
      <c r="D86" s="441"/>
      <c r="E86" s="440"/>
      <c r="F86" s="442">
        <f t="shared" si="10"/>
        <v>0</v>
      </c>
      <c r="G86" s="435">
        <f>(F86+C86)/2</f>
        <v>0</v>
      </c>
      <c r="H86" s="591">
        <v>0</v>
      </c>
      <c r="J86" s="252"/>
    </row>
    <row r="87" spans="2:10" ht="12.75">
      <c r="B87" s="367" t="s">
        <v>1561</v>
      </c>
      <c r="C87" s="440"/>
      <c r="D87" s="441"/>
      <c r="E87" s="440"/>
      <c r="F87" s="442">
        <f t="shared" si="10"/>
        <v>0</v>
      </c>
      <c r="G87" s="435">
        <f>(F87+C87)/2</f>
        <v>0</v>
      </c>
      <c r="H87" s="591">
        <v>0</v>
      </c>
      <c r="J87" s="250"/>
    </row>
    <row r="88" spans="2:10" ht="12.75">
      <c r="B88" s="367" t="s">
        <v>1562</v>
      </c>
      <c r="C88" s="440"/>
      <c r="D88" s="441"/>
      <c r="E88" s="440"/>
      <c r="F88" s="442">
        <f t="shared" si="10"/>
        <v>0</v>
      </c>
      <c r="G88" s="435">
        <f>(F88+C88)/2</f>
        <v>0</v>
      </c>
      <c r="H88" s="591">
        <v>0</v>
      </c>
      <c r="J88" s="250"/>
    </row>
    <row r="89" spans="2:10" ht="13.5" thickBot="1">
      <c r="B89" s="368" t="s">
        <v>1563</v>
      </c>
      <c r="C89" s="447"/>
      <c r="D89" s="448"/>
      <c r="E89" s="447"/>
      <c r="F89" s="449">
        <f t="shared" si="10"/>
        <v>0</v>
      </c>
      <c r="G89" s="454">
        <f>(F89+C89)/2</f>
        <v>0</v>
      </c>
      <c r="H89" s="592">
        <v>0</v>
      </c>
      <c r="J89" s="250"/>
    </row>
    <row r="90" spans="2:10" ht="15">
      <c r="B90" s="437" t="s">
        <v>2337</v>
      </c>
      <c r="C90" s="443">
        <f>SUM(C91:C94)</f>
        <v>330.154</v>
      </c>
      <c r="D90" s="444">
        <f>SUM(D91:D94)</f>
        <v>0</v>
      </c>
      <c r="E90" s="444">
        <f>SUM(E91:E94)</f>
        <v>0</v>
      </c>
      <c r="F90" s="445">
        <f t="shared" si="10"/>
        <v>330.154</v>
      </c>
      <c r="G90" s="445">
        <f>(C90+F90)/2</f>
        <v>330.154</v>
      </c>
      <c r="H90" s="594">
        <f>H92+H93+H94</f>
        <v>3.3000000000000003</v>
      </c>
      <c r="J90" s="250"/>
    </row>
    <row r="91" spans="2:10" ht="12.75">
      <c r="B91" s="367" t="s">
        <v>1560</v>
      </c>
      <c r="C91" s="440"/>
      <c r="D91" s="441"/>
      <c r="E91" s="440"/>
      <c r="F91" s="442">
        <f t="shared" si="10"/>
        <v>0</v>
      </c>
      <c r="G91" s="446"/>
      <c r="H91" s="591"/>
      <c r="J91" s="250"/>
    </row>
    <row r="92" spans="2:10" ht="12.75">
      <c r="B92" s="367" t="s">
        <v>1561</v>
      </c>
      <c r="C92" s="440"/>
      <c r="D92" s="441"/>
      <c r="E92" s="440"/>
      <c r="F92" s="442">
        <f t="shared" si="10"/>
        <v>0</v>
      </c>
      <c r="G92" s="446">
        <f aca="true" t="shared" si="11" ref="G92:G99">(C92+F92)/2</f>
        <v>0</v>
      </c>
      <c r="H92" s="591">
        <f>G92*J92</f>
        <v>0</v>
      </c>
      <c r="J92" s="250"/>
    </row>
    <row r="93" spans="2:10" ht="12.75">
      <c r="B93" s="367" t="s">
        <v>1562</v>
      </c>
      <c r="C93" s="440">
        <f>330.154</f>
        <v>330.154</v>
      </c>
      <c r="D93" s="441"/>
      <c r="E93" s="440"/>
      <c r="F93" s="442">
        <f t="shared" si="10"/>
        <v>330.154</v>
      </c>
      <c r="G93" s="446">
        <f t="shared" si="11"/>
        <v>330.154</v>
      </c>
      <c r="H93" s="777">
        <f>0.275*12</f>
        <v>3.3000000000000003</v>
      </c>
      <c r="J93" s="250"/>
    </row>
    <row r="94" spans="2:10" ht="13.5" thickBot="1">
      <c r="B94" s="368" t="s">
        <v>1563</v>
      </c>
      <c r="C94" s="447">
        <v>0</v>
      </c>
      <c r="D94" s="448"/>
      <c r="E94" s="447"/>
      <c r="F94" s="449">
        <f t="shared" si="10"/>
        <v>0</v>
      </c>
      <c r="G94" s="450">
        <f t="shared" si="11"/>
        <v>0</v>
      </c>
      <c r="H94" s="778">
        <v>0</v>
      </c>
      <c r="J94" s="250"/>
    </row>
    <row r="95" spans="2:10" ht="15">
      <c r="B95" s="436" t="s">
        <v>2338</v>
      </c>
      <c r="C95" s="443">
        <f>C96+C97+C98</f>
        <v>109.159</v>
      </c>
      <c r="D95" s="443">
        <f>D96+D97+D98</f>
        <v>0</v>
      </c>
      <c r="E95" s="443">
        <f>E96+E98</f>
        <v>0</v>
      </c>
      <c r="F95" s="445">
        <f t="shared" si="10"/>
        <v>109.159</v>
      </c>
      <c r="G95" s="445">
        <f t="shared" si="11"/>
        <v>109.159</v>
      </c>
      <c r="H95" s="594">
        <f>SUM(H96:H99)</f>
        <v>2.964</v>
      </c>
      <c r="J95" s="513"/>
    </row>
    <row r="96" spans="2:10" ht="12.75">
      <c r="B96" s="367" t="s">
        <v>1560</v>
      </c>
      <c r="C96" s="440">
        <v>0</v>
      </c>
      <c r="D96" s="441">
        <v>0</v>
      </c>
      <c r="E96" s="440">
        <v>0</v>
      </c>
      <c r="F96" s="442">
        <f t="shared" si="10"/>
        <v>0</v>
      </c>
      <c r="G96" s="446">
        <f t="shared" si="11"/>
        <v>0</v>
      </c>
      <c r="H96" s="591"/>
      <c r="J96" s="250"/>
    </row>
    <row r="97" spans="2:10" ht="12.75">
      <c r="B97" s="367" t="s">
        <v>1561</v>
      </c>
      <c r="C97" s="440">
        <v>0</v>
      </c>
      <c r="D97" s="441">
        <v>0</v>
      </c>
      <c r="E97" s="440">
        <v>0</v>
      </c>
      <c r="F97" s="442">
        <f t="shared" si="10"/>
        <v>0</v>
      </c>
      <c r="G97" s="446">
        <f t="shared" si="11"/>
        <v>0</v>
      </c>
      <c r="H97" s="591">
        <f>G97*J97</f>
        <v>0</v>
      </c>
      <c r="J97" s="250"/>
    </row>
    <row r="98" spans="2:10" ht="12.75">
      <c r="B98" s="367" t="s">
        <v>1562</v>
      </c>
      <c r="C98" s="440">
        <f>14.307+14.874+14.874+17.827+47.277</f>
        <v>109.159</v>
      </c>
      <c r="D98" s="441">
        <v>0</v>
      </c>
      <c r="E98" s="440">
        <v>0</v>
      </c>
      <c r="F98" s="442">
        <f t="shared" si="10"/>
        <v>109.159</v>
      </c>
      <c r="G98" s="446">
        <f t="shared" si="11"/>
        <v>109.159</v>
      </c>
      <c r="H98" s="777">
        <f>(0.021+0.022+0.022+0.009+0.173)*12</f>
        <v>2.964</v>
      </c>
      <c r="J98" s="250"/>
    </row>
    <row r="99" spans="2:10" ht="13.5" thickBot="1">
      <c r="B99" s="368" t="s">
        <v>1563</v>
      </c>
      <c r="C99" s="447">
        <v>0</v>
      </c>
      <c r="D99" s="448">
        <v>0</v>
      </c>
      <c r="E99" s="447">
        <v>0</v>
      </c>
      <c r="F99" s="449">
        <f t="shared" si="10"/>
        <v>0</v>
      </c>
      <c r="G99" s="450">
        <f t="shared" si="11"/>
        <v>0</v>
      </c>
      <c r="H99" s="592">
        <f>G99*J99</f>
        <v>0</v>
      </c>
      <c r="J99" s="250"/>
    </row>
    <row r="100" spans="2:10" ht="30.75" thickBot="1">
      <c r="B100" s="438" t="s">
        <v>2339</v>
      </c>
      <c r="C100" s="603">
        <f>C95+C84</f>
        <v>439.313</v>
      </c>
      <c r="D100" s="604">
        <f>D84+D95</f>
        <v>0</v>
      </c>
      <c r="E100" s="603">
        <f>E84+E95</f>
        <v>0</v>
      </c>
      <c r="F100" s="605">
        <f>C100+D100-E100</f>
        <v>439.313</v>
      </c>
      <c r="G100" s="605">
        <f>(C100+F100)/2</f>
        <v>439.313</v>
      </c>
      <c r="H100" s="606">
        <f>H101+H102+H103+H104</f>
        <v>6.264</v>
      </c>
      <c r="I100" s="149">
        <f>H100/G100</f>
        <v>0.014258626537343534</v>
      </c>
      <c r="J100" s="515"/>
    </row>
    <row r="101" spans="2:10" ht="12.75">
      <c r="B101" s="369" t="s">
        <v>1560</v>
      </c>
      <c r="C101" s="451">
        <f aca="true" t="shared" si="12" ref="C101:E104">C86+C91+C96</f>
        <v>0</v>
      </c>
      <c r="D101" s="452">
        <f t="shared" si="12"/>
        <v>0</v>
      </c>
      <c r="E101" s="452">
        <f t="shared" si="12"/>
        <v>0</v>
      </c>
      <c r="F101" s="446">
        <f>C101+D101-E101</f>
        <v>0</v>
      </c>
      <c r="G101" s="446">
        <f>(C101+F101)/2</f>
        <v>0</v>
      </c>
      <c r="H101" s="591">
        <f>H86+H91+H96</f>
        <v>0</v>
      </c>
      <c r="J101" s="254"/>
    </row>
    <row r="102" spans="2:10" ht="12.75">
      <c r="B102" s="367" t="s">
        <v>1561</v>
      </c>
      <c r="C102" s="440">
        <f t="shared" si="12"/>
        <v>0</v>
      </c>
      <c r="D102" s="441">
        <f t="shared" si="12"/>
        <v>0</v>
      </c>
      <c r="E102" s="441">
        <f t="shared" si="12"/>
        <v>0</v>
      </c>
      <c r="F102" s="442">
        <f>C102+D102-E102</f>
        <v>0</v>
      </c>
      <c r="G102" s="446">
        <f>(C102+F102)/2</f>
        <v>0</v>
      </c>
      <c r="H102" s="591">
        <f>H87+H92+H97</f>
        <v>0</v>
      </c>
      <c r="J102" s="254"/>
    </row>
    <row r="103" spans="2:10" ht="12.75">
      <c r="B103" s="367" t="s">
        <v>1562</v>
      </c>
      <c r="C103" s="440">
        <f t="shared" si="12"/>
        <v>439.313</v>
      </c>
      <c r="D103" s="441">
        <f t="shared" si="12"/>
        <v>0</v>
      </c>
      <c r="E103" s="441">
        <f t="shared" si="12"/>
        <v>0</v>
      </c>
      <c r="F103" s="442">
        <f>C103+D103-E103</f>
        <v>439.313</v>
      </c>
      <c r="G103" s="446">
        <f>(C103+F103)/2</f>
        <v>439.313</v>
      </c>
      <c r="H103" s="591">
        <f>H88+H93+H98</f>
        <v>6.264</v>
      </c>
      <c r="J103" s="254"/>
    </row>
    <row r="104" spans="2:10" ht="13.5" thickBot="1">
      <c r="B104" s="368" t="s">
        <v>1563</v>
      </c>
      <c r="C104" s="447">
        <f t="shared" si="12"/>
        <v>0</v>
      </c>
      <c r="D104" s="448">
        <f t="shared" si="12"/>
        <v>0</v>
      </c>
      <c r="E104" s="448">
        <f t="shared" si="12"/>
        <v>0</v>
      </c>
      <c r="F104" s="449">
        <f>C104+D104-E104</f>
        <v>0</v>
      </c>
      <c r="G104" s="450">
        <f>(C104+F104)/2</f>
        <v>0</v>
      </c>
      <c r="H104" s="592">
        <f>H89+H94+H99</f>
        <v>0</v>
      </c>
      <c r="J104" s="254"/>
    </row>
  </sheetData>
  <sheetProtection/>
  <mergeCells count="8">
    <mergeCell ref="B2:E3"/>
    <mergeCell ref="G2:H3"/>
    <mergeCell ref="B81:E82"/>
    <mergeCell ref="G81:H82"/>
    <mergeCell ref="B54:E55"/>
    <mergeCell ref="G54:H55"/>
    <mergeCell ref="B28:E29"/>
    <mergeCell ref="G28:H29"/>
  </mergeCells>
  <printOptions/>
  <pageMargins left="0.75" right="0.17" top="1" bottom="1" header="0.58" footer="0.5"/>
  <pageSetup fitToHeight="1" fitToWidth="1" horizontalDpi="600" verticalDpi="600" orientation="portrait" paperSize="9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75" zoomScaleNormal="75" zoomScalePageLayoutView="0" workbookViewId="0" topLeftCell="A1">
      <selection activeCell="I36" sqref="I36"/>
    </sheetView>
  </sheetViews>
  <sheetFormatPr defaultColWidth="9.00390625" defaultRowHeight="12.75"/>
  <cols>
    <col min="1" max="2" width="7.00390625" style="0" customWidth="1"/>
    <col min="3" max="3" width="47.375" style="0" customWidth="1"/>
    <col min="4" max="4" width="13.00390625" style="0" customWidth="1"/>
    <col min="5" max="5" width="11.25390625" style="0" hidden="1" customWidth="1"/>
    <col min="6" max="6" width="11.25390625" style="0" customWidth="1"/>
    <col min="7" max="7" width="13.75390625" style="0" customWidth="1"/>
    <col min="8" max="8" width="11.375" style="0" hidden="1" customWidth="1"/>
    <col min="9" max="9" width="13.625" style="0" customWidth="1"/>
    <col min="10" max="10" width="10.25390625" style="0" customWidth="1"/>
    <col min="13" max="13" width="9.25390625" style="0" bestFit="1" customWidth="1"/>
  </cols>
  <sheetData>
    <row r="1" ht="12.75">
      <c r="G1" s="475"/>
    </row>
    <row r="2" spans="1:7" ht="13.5" thickBot="1">
      <c r="A2" s="53"/>
      <c r="G2" s="475">
        <f>G7+G8</f>
        <v>509.95000000000005</v>
      </c>
    </row>
    <row r="3" spans="2:10" ht="28.5" customHeight="1" thickBot="1">
      <c r="B3" s="1754" t="s">
        <v>2285</v>
      </c>
      <c r="C3" s="1755"/>
      <c r="D3" s="1755"/>
      <c r="E3" s="1755"/>
      <c r="F3" s="1029"/>
      <c r="G3" s="1038" t="s">
        <v>237</v>
      </c>
      <c r="H3" s="1876" t="s">
        <v>2483</v>
      </c>
      <c r="I3" s="1887"/>
      <c r="J3" s="1888"/>
    </row>
    <row r="4" spans="2:10" ht="49.5" customHeight="1">
      <c r="B4" s="1826" t="s">
        <v>1381</v>
      </c>
      <c r="C4" s="1828" t="s">
        <v>2446</v>
      </c>
      <c r="D4" s="1828" t="s">
        <v>1257</v>
      </c>
      <c r="E4" s="1828"/>
      <c r="F4" s="3">
        <v>2010</v>
      </c>
      <c r="G4" s="1965" t="s">
        <v>1190</v>
      </c>
      <c r="H4" s="1966"/>
      <c r="I4" s="1958" t="s">
        <v>1191</v>
      </c>
      <c r="J4" s="1959"/>
    </row>
    <row r="5" spans="2:13" ht="32.25" customHeight="1" thickBot="1">
      <c r="B5" s="1827"/>
      <c r="C5" s="1829"/>
      <c r="D5" s="9" t="s">
        <v>277</v>
      </c>
      <c r="E5" s="9" t="s">
        <v>1218</v>
      </c>
      <c r="F5" s="9"/>
      <c r="G5" s="153" t="s">
        <v>277</v>
      </c>
      <c r="H5" s="360" t="s">
        <v>2488</v>
      </c>
      <c r="I5" s="153" t="s">
        <v>277</v>
      </c>
      <c r="J5" s="154" t="s">
        <v>2488</v>
      </c>
      <c r="M5" s="55"/>
    </row>
    <row r="6" spans="2:13" ht="13.5" thickBot="1">
      <c r="B6" s="306">
        <v>1</v>
      </c>
      <c r="C6" s="305">
        <v>2</v>
      </c>
      <c r="D6" s="305">
        <v>3</v>
      </c>
      <c r="E6" s="305">
        <v>4</v>
      </c>
      <c r="F6" s="305"/>
      <c r="G6" s="307">
        <v>5</v>
      </c>
      <c r="H6" s="307">
        <v>6</v>
      </c>
      <c r="I6" s="363">
        <v>7</v>
      </c>
      <c r="J6" s="364">
        <v>8</v>
      </c>
      <c r="M6" s="11"/>
    </row>
    <row r="7" spans="2:10" ht="23.25" customHeight="1">
      <c r="B7" s="365" t="s">
        <v>1420</v>
      </c>
      <c r="C7" s="234" t="s">
        <v>2442</v>
      </c>
      <c r="D7" s="505">
        <v>250.64</v>
      </c>
      <c r="E7" s="361"/>
      <c r="F7" s="361">
        <v>396.69</v>
      </c>
      <c r="G7" s="775">
        <v>333.3</v>
      </c>
      <c r="H7" s="775"/>
      <c r="I7" s="508">
        <f>'П1.16'!H31</f>
        <v>902.8558945114827</v>
      </c>
      <c r="J7" s="362"/>
    </row>
    <row r="8" spans="2:10" ht="25.5">
      <c r="B8" s="5" t="s">
        <v>1457</v>
      </c>
      <c r="C8" s="43" t="s">
        <v>2490</v>
      </c>
      <c r="D8" s="121"/>
      <c r="E8" s="17"/>
      <c r="F8" s="17"/>
      <c r="G8" s="123">
        <v>176.65</v>
      </c>
      <c r="H8" s="123"/>
      <c r="I8" s="137"/>
      <c r="J8" s="140"/>
    </row>
    <row r="9" spans="2:10" ht="25.5">
      <c r="B9" s="5" t="s">
        <v>1459</v>
      </c>
      <c r="C9" s="43" t="s">
        <v>2440</v>
      </c>
      <c r="D9" s="137">
        <f>D7*26.6%</f>
        <v>66.67024</v>
      </c>
      <c r="E9" s="17"/>
      <c r="F9" s="17">
        <v>105.52</v>
      </c>
      <c r="G9" s="137">
        <v>173.38</v>
      </c>
      <c r="H9" s="137"/>
      <c r="I9" s="137">
        <f>I7*26.6%</f>
        <v>240.15966794005442</v>
      </c>
      <c r="J9" s="140"/>
    </row>
    <row r="10" spans="2:10" ht="25.5">
      <c r="B10" s="5" t="s">
        <v>1399</v>
      </c>
      <c r="C10" s="43" t="s">
        <v>2491</v>
      </c>
      <c r="D10" s="137">
        <f>D11+D16+D17</f>
        <v>280.64</v>
      </c>
      <c r="E10" s="17"/>
      <c r="F10" s="17">
        <v>253.34</v>
      </c>
      <c r="G10" s="137">
        <v>227.8</v>
      </c>
      <c r="H10" s="137"/>
      <c r="I10" s="137" t="e">
        <f>I11+I16+I17</f>
        <v>#REF!</v>
      </c>
      <c r="J10" s="140"/>
    </row>
    <row r="11" spans="2:12" ht="12.75">
      <c r="B11" s="5" t="s">
        <v>2447</v>
      </c>
      <c r="C11" s="43" t="s">
        <v>2448</v>
      </c>
      <c r="D11" s="17">
        <v>6.26</v>
      </c>
      <c r="E11" s="17"/>
      <c r="F11" s="17">
        <v>6.26</v>
      </c>
      <c r="G11" s="123">
        <v>54.3</v>
      </c>
      <c r="H11" s="123"/>
      <c r="I11" s="137">
        <f>'П1.17.1'!H100</f>
        <v>6.264</v>
      </c>
      <c r="J11" s="140"/>
      <c r="L11">
        <f>I11/G11</f>
        <v>0.11535911602209946</v>
      </c>
    </row>
    <row r="12" spans="2:10" ht="12.75">
      <c r="B12" s="5"/>
      <c r="C12" s="43" t="s">
        <v>2452</v>
      </c>
      <c r="D12" s="121"/>
      <c r="E12" s="17"/>
      <c r="F12" s="17"/>
      <c r="G12" s="123"/>
      <c r="H12" s="123"/>
      <c r="I12" s="137"/>
      <c r="J12" s="140"/>
    </row>
    <row r="13" spans="2:10" ht="12.75">
      <c r="B13" s="5"/>
      <c r="C13" s="43" t="s">
        <v>2453</v>
      </c>
      <c r="D13" s="121"/>
      <c r="E13" s="17"/>
      <c r="F13" s="17"/>
      <c r="G13" s="123"/>
      <c r="H13" s="123"/>
      <c r="I13" s="137"/>
      <c r="J13" s="140"/>
    </row>
    <row r="14" spans="2:10" ht="12.75">
      <c r="B14" s="5"/>
      <c r="C14" s="43" t="s">
        <v>2454</v>
      </c>
      <c r="D14" s="121">
        <v>6.26</v>
      </c>
      <c r="E14" s="17"/>
      <c r="F14" s="17">
        <v>6.26</v>
      </c>
      <c r="G14" s="123"/>
      <c r="H14" s="123"/>
      <c r="I14" s="137">
        <f>'П1.17.1'!H103</f>
        <v>6.264</v>
      </c>
      <c r="J14" s="140"/>
    </row>
    <row r="15" spans="2:10" ht="12.75">
      <c r="B15" s="5"/>
      <c r="C15" s="43" t="s">
        <v>2455</v>
      </c>
      <c r="D15" s="121"/>
      <c r="E15" s="17"/>
      <c r="F15" s="17"/>
      <c r="G15" s="123"/>
      <c r="H15" s="123"/>
      <c r="I15" s="137"/>
      <c r="J15" s="140"/>
    </row>
    <row r="16" spans="2:10" ht="12.75">
      <c r="B16" s="5" t="s">
        <v>2456</v>
      </c>
      <c r="C16" s="43" t="s">
        <v>2457</v>
      </c>
      <c r="D16" s="17">
        <v>21.97</v>
      </c>
      <c r="E16" s="17"/>
      <c r="F16" s="17">
        <v>21.97</v>
      </c>
      <c r="G16" s="123">
        <v>78.8</v>
      </c>
      <c r="H16" s="123"/>
      <c r="I16" s="137" t="e">
        <f>'П1.15'!#REF!</f>
        <v>#REF!</v>
      </c>
      <c r="J16" s="140"/>
    </row>
    <row r="17" spans="2:10" ht="25.5">
      <c r="B17" s="5" t="s">
        <v>2458</v>
      </c>
      <c r="C17" s="43" t="s">
        <v>2492</v>
      </c>
      <c r="D17" s="121">
        <v>252.41</v>
      </c>
      <c r="E17" s="17"/>
      <c r="F17" s="17">
        <v>225.11</v>
      </c>
      <c r="G17" s="123">
        <v>94.7</v>
      </c>
      <c r="H17" s="123"/>
      <c r="I17" s="137" t="e">
        <f>'П1.15'!#REF!+'П1.15'!#REF!+'П1.15'!#REF!</f>
        <v>#REF!</v>
      </c>
      <c r="J17" s="140"/>
    </row>
    <row r="18" spans="2:12" ht="25.5">
      <c r="B18" s="5" t="s">
        <v>1486</v>
      </c>
      <c r="C18" s="43" t="s">
        <v>2493</v>
      </c>
      <c r="D18" s="17"/>
      <c r="E18" s="17"/>
      <c r="F18" s="17"/>
      <c r="G18" s="123">
        <v>434.1</v>
      </c>
      <c r="H18" s="123"/>
      <c r="I18" s="137"/>
      <c r="J18" s="140"/>
      <c r="L18" s="134" t="e">
        <f>I19+I20</f>
        <v>#REF!</v>
      </c>
    </row>
    <row r="19" spans="2:11" ht="12.75">
      <c r="B19" s="5" t="s">
        <v>2348</v>
      </c>
      <c r="C19" s="43" t="s">
        <v>2459</v>
      </c>
      <c r="D19" s="121">
        <v>98.81</v>
      </c>
      <c r="E19" s="17"/>
      <c r="F19" s="17">
        <v>31.93</v>
      </c>
      <c r="G19" s="123">
        <v>105.3</v>
      </c>
      <c r="H19" s="123"/>
      <c r="I19" s="276">
        <f>'П1.16'!J31*1.266</f>
        <v>20.326626752263167</v>
      </c>
      <c r="J19" s="140"/>
      <c r="K19" s="134" t="e">
        <f>'П1.15'!#REF!-' П1.18.2'!I7-' П1.18.2'!I9-' П1.18.2'!I10-' П1.18.2'!I20</f>
        <v>#REF!</v>
      </c>
    </row>
    <row r="20" spans="2:10" ht="12.75">
      <c r="B20" s="5" t="s">
        <v>2352</v>
      </c>
      <c r="C20" s="43" t="s">
        <v>2460</v>
      </c>
      <c r="D20" s="121">
        <v>26.46</v>
      </c>
      <c r="E20" s="17"/>
      <c r="F20" s="17">
        <v>175.94</v>
      </c>
      <c r="G20" s="123">
        <v>34.7</v>
      </c>
      <c r="H20" s="123"/>
      <c r="I20" s="861" t="e">
        <f>'П1.16'!I31*1.266+'П1.15'!#REF!+('П1.15'!#REF!-'П1.15'!#REF!)</f>
        <v>#REF!</v>
      </c>
      <c r="J20" s="140"/>
    </row>
    <row r="21" spans="2:10" ht="12.75">
      <c r="B21" s="5" t="s">
        <v>2461</v>
      </c>
      <c r="C21" s="43" t="s">
        <v>2462</v>
      </c>
      <c r="D21" s="17"/>
      <c r="E21" s="17"/>
      <c r="F21" s="17"/>
      <c r="G21" s="123"/>
      <c r="H21" s="123"/>
      <c r="I21" s="137"/>
      <c r="J21" s="140"/>
    </row>
    <row r="22" spans="2:10" ht="12.75">
      <c r="B22" s="5" t="s">
        <v>2463</v>
      </c>
      <c r="C22" s="43" t="s">
        <v>2464</v>
      </c>
      <c r="D22" s="17">
        <v>5.1</v>
      </c>
      <c r="E22" s="17"/>
      <c r="F22" s="17">
        <v>5.1</v>
      </c>
      <c r="G22" s="123">
        <v>5.1</v>
      </c>
      <c r="H22" s="123"/>
      <c r="I22" s="137" t="e">
        <f>'П1.15'!#REF!</f>
        <v>#REF!</v>
      </c>
      <c r="J22" s="140"/>
    </row>
    <row r="23" spans="2:10" ht="25.5">
      <c r="B23" s="5" t="s">
        <v>2465</v>
      </c>
      <c r="C23" s="43" t="s">
        <v>2494</v>
      </c>
      <c r="D23" s="17"/>
      <c r="E23" s="17"/>
      <c r="F23" s="17"/>
      <c r="G23" s="123"/>
      <c r="H23" s="123"/>
      <c r="I23" s="137"/>
      <c r="J23" s="140"/>
    </row>
    <row r="24" spans="2:10" ht="25.5">
      <c r="B24" s="5" t="s">
        <v>2466</v>
      </c>
      <c r="C24" s="43" t="s">
        <v>2495</v>
      </c>
      <c r="D24" s="17"/>
      <c r="E24" s="17"/>
      <c r="F24" s="17"/>
      <c r="G24" s="123"/>
      <c r="H24" s="123"/>
      <c r="I24" s="137"/>
      <c r="J24" s="140"/>
    </row>
    <row r="25" spans="2:10" ht="12.75">
      <c r="B25" s="1866" t="s">
        <v>2467</v>
      </c>
      <c r="C25" s="43" t="s">
        <v>2468</v>
      </c>
      <c r="D25" s="1961"/>
      <c r="E25" s="1962"/>
      <c r="F25" s="1963"/>
      <c r="G25" s="1967">
        <v>29.6</v>
      </c>
      <c r="H25" s="1960"/>
      <c r="I25" s="1956"/>
      <c r="J25" s="1957"/>
    </row>
    <row r="26" spans="2:10" ht="25.5">
      <c r="B26" s="1866"/>
      <c r="C26" s="43" t="s">
        <v>2496</v>
      </c>
      <c r="D26" s="1962"/>
      <c r="E26" s="1962"/>
      <c r="F26" s="1964"/>
      <c r="G26" s="1968"/>
      <c r="H26" s="1960"/>
      <c r="I26" s="1956"/>
      <c r="J26" s="1957"/>
    </row>
    <row r="27" spans="2:10" ht="12.75">
      <c r="B27" s="5"/>
      <c r="C27" s="43" t="s">
        <v>2469</v>
      </c>
      <c r="D27" s="121"/>
      <c r="E27" s="17"/>
      <c r="F27" s="17"/>
      <c r="G27" s="123">
        <v>23.4</v>
      </c>
      <c r="H27" s="123"/>
      <c r="I27" s="137"/>
      <c r="J27" s="140"/>
    </row>
    <row r="28" spans="2:10" ht="12.75">
      <c r="B28" s="5"/>
      <c r="C28" s="43" t="s">
        <v>2452</v>
      </c>
      <c r="D28" s="121"/>
      <c r="E28" s="17"/>
      <c r="F28" s="17"/>
      <c r="G28" s="123"/>
      <c r="H28" s="123"/>
      <c r="I28" s="137"/>
      <c r="J28" s="140"/>
    </row>
    <row r="29" spans="2:10" ht="12.75">
      <c r="B29" s="5"/>
      <c r="C29" s="43" t="s">
        <v>2453</v>
      </c>
      <c r="D29" s="121"/>
      <c r="E29" s="17"/>
      <c r="F29" s="17"/>
      <c r="G29" s="123"/>
      <c r="H29" s="123"/>
      <c r="I29" s="137"/>
      <c r="J29" s="140"/>
    </row>
    <row r="30" spans="2:10" ht="12.75">
      <c r="B30" s="5"/>
      <c r="C30" s="43" t="s">
        <v>2470</v>
      </c>
      <c r="D30" s="121"/>
      <c r="E30" s="17"/>
      <c r="F30" s="17"/>
      <c r="G30" s="123">
        <v>14.1</v>
      </c>
      <c r="H30" s="123"/>
      <c r="I30" s="137"/>
      <c r="J30" s="140"/>
    </row>
    <row r="31" spans="2:10" ht="12.75">
      <c r="B31" s="5"/>
      <c r="C31" s="43" t="s">
        <v>2455</v>
      </c>
      <c r="D31" s="121"/>
      <c r="E31" s="17"/>
      <c r="F31" s="17"/>
      <c r="G31" s="123">
        <v>9.3</v>
      </c>
      <c r="H31" s="123"/>
      <c r="I31" s="137"/>
      <c r="J31" s="140"/>
    </row>
    <row r="32" spans="2:10" ht="12.75">
      <c r="B32" s="5"/>
      <c r="C32" s="43" t="s">
        <v>546</v>
      </c>
      <c r="D32" s="17"/>
      <c r="E32" s="17"/>
      <c r="F32" s="17"/>
      <c r="G32" s="123"/>
      <c r="H32" s="123"/>
      <c r="I32" s="123"/>
      <c r="J32" s="140"/>
    </row>
    <row r="33" spans="2:12" ht="25.5">
      <c r="B33" s="5" t="s">
        <v>2471</v>
      </c>
      <c r="C33" s="43" t="s">
        <v>2497</v>
      </c>
      <c r="D33" s="17">
        <v>21.36</v>
      </c>
      <c r="E33" s="17"/>
      <c r="F33" s="17">
        <v>21.36</v>
      </c>
      <c r="G33" s="123">
        <v>6.2</v>
      </c>
      <c r="H33" s="123"/>
      <c r="I33" s="152">
        <f>I34+I35-I36</f>
        <v>21.36</v>
      </c>
      <c r="J33" s="140"/>
      <c r="L33" s="134"/>
    </row>
    <row r="34" spans="2:10" ht="12.75">
      <c r="B34" s="5" t="s">
        <v>2472</v>
      </c>
      <c r="C34" s="43" t="s">
        <v>2473</v>
      </c>
      <c r="D34" s="17">
        <v>21.36</v>
      </c>
      <c r="E34" s="17"/>
      <c r="F34" s="17">
        <v>21.36</v>
      </c>
      <c r="G34" s="123"/>
      <c r="H34" s="123"/>
      <c r="I34" s="123">
        <v>21.36</v>
      </c>
      <c r="J34" s="140"/>
    </row>
    <row r="35" spans="2:10" ht="12.75">
      <c r="B35" s="5" t="s">
        <v>2353</v>
      </c>
      <c r="C35" s="43" t="s">
        <v>2474</v>
      </c>
      <c r="D35" s="17"/>
      <c r="E35" s="17"/>
      <c r="F35" s="17"/>
      <c r="G35" s="123"/>
      <c r="H35" s="123"/>
      <c r="I35" s="123"/>
      <c r="J35" s="140"/>
    </row>
    <row r="36" spans="2:10" ht="25.5">
      <c r="B36" s="5" t="s">
        <v>2354</v>
      </c>
      <c r="C36" s="43" t="s">
        <v>2498</v>
      </c>
      <c r="D36" s="17"/>
      <c r="E36" s="17"/>
      <c r="F36" s="17"/>
      <c r="G36" s="123"/>
      <c r="H36" s="123"/>
      <c r="I36" s="123"/>
      <c r="J36" s="140"/>
    </row>
    <row r="37" spans="2:15" ht="31.5">
      <c r="B37" s="232" t="s">
        <v>2361</v>
      </c>
      <c r="C37" s="235" t="s">
        <v>2499</v>
      </c>
      <c r="D37" s="766">
        <f>D7+D8+D9+D10+D18+D19+D20+D35+D36</f>
        <v>723.2202400000001</v>
      </c>
      <c r="E37" s="233"/>
      <c r="F37" s="766">
        <f>F7+F8+F9+F10+F18+F19+F20+F35+F36</f>
        <v>963.4199999999998</v>
      </c>
      <c r="G37" s="766">
        <v>1308.58</v>
      </c>
      <c r="H37" s="236"/>
      <c r="I37" s="766" t="e">
        <f>I7+I8+I9+I10+I18+I19+I20+I35+I36</f>
        <v>#REF!</v>
      </c>
      <c r="J37" s="140"/>
      <c r="L37" s="134" t="e">
        <f>'П1.15'!#REF!-' П1.18.2'!I37</f>
        <v>#REF!</v>
      </c>
      <c r="M37" s="134"/>
      <c r="N37" s="134"/>
      <c r="O37" s="134"/>
    </row>
    <row r="38" spans="2:10" ht="12.75">
      <c r="B38" s="5"/>
      <c r="C38" s="43" t="s">
        <v>2476</v>
      </c>
      <c r="D38" s="121"/>
      <c r="E38" s="17"/>
      <c r="F38" s="17"/>
      <c r="G38" s="137"/>
      <c r="H38" s="137"/>
      <c r="I38" s="137"/>
      <c r="J38" s="140"/>
    </row>
    <row r="39" spans="2:10" ht="12.75">
      <c r="B39" s="5"/>
      <c r="C39" s="43" t="s">
        <v>2453</v>
      </c>
      <c r="D39" s="121"/>
      <c r="E39" s="17"/>
      <c r="F39" s="17"/>
      <c r="G39" s="137"/>
      <c r="H39" s="137"/>
      <c r="I39" s="137"/>
      <c r="J39" s="140"/>
    </row>
    <row r="40" spans="2:10" ht="12.75">
      <c r="B40" s="5"/>
      <c r="C40" s="43" t="s">
        <v>2470</v>
      </c>
      <c r="D40" s="121"/>
      <c r="E40" s="17"/>
      <c r="F40" s="17"/>
      <c r="G40" s="137"/>
      <c r="H40" s="137"/>
      <c r="I40" s="137" t="e">
        <f>I14+($I$37-$I$11)*I59</f>
        <v>#REF!</v>
      </c>
      <c r="J40" s="140"/>
    </row>
    <row r="41" spans="2:12" ht="12.75">
      <c r="B41" s="5"/>
      <c r="C41" s="43" t="s">
        <v>2455</v>
      </c>
      <c r="D41" s="121"/>
      <c r="E41" s="17"/>
      <c r="F41" s="17"/>
      <c r="G41" s="137"/>
      <c r="H41" s="137"/>
      <c r="I41" s="137" t="e">
        <f>I15+($I$37-$I$11)*I61</f>
        <v>#REF!</v>
      </c>
      <c r="J41" s="140"/>
      <c r="L41" s="134"/>
    </row>
    <row r="42" spans="2:10" ht="12.75">
      <c r="B42" s="5"/>
      <c r="C42" s="260"/>
      <c r="D42" s="17"/>
      <c r="E42" s="17"/>
      <c r="F42" s="17"/>
      <c r="G42" s="152"/>
      <c r="H42" s="123"/>
      <c r="I42" s="123"/>
      <c r="J42" s="140"/>
    </row>
    <row r="43" spans="2:10" ht="12.75">
      <c r="B43" s="5"/>
      <c r="C43" s="260"/>
      <c r="D43" s="17"/>
      <c r="E43" s="17"/>
      <c r="F43" s="17"/>
      <c r="G43" s="152"/>
      <c r="H43" s="152"/>
      <c r="I43" s="123"/>
      <c r="J43" s="140"/>
    </row>
    <row r="44" spans="2:10" ht="12.75">
      <c r="B44" s="5" t="s">
        <v>2362</v>
      </c>
      <c r="C44" s="43" t="s">
        <v>2478</v>
      </c>
      <c r="D44" s="17"/>
      <c r="E44" s="17"/>
      <c r="F44" s="17"/>
      <c r="G44" s="123"/>
      <c r="H44" s="123"/>
      <c r="I44" s="123"/>
      <c r="J44" s="140"/>
    </row>
    <row r="45" spans="2:10" ht="12.75">
      <c r="B45" s="5" t="s">
        <v>2363</v>
      </c>
      <c r="C45" s="43" t="s">
        <v>2479</v>
      </c>
      <c r="D45" s="17"/>
      <c r="E45" s="17"/>
      <c r="F45" s="17"/>
      <c r="G45" s="137"/>
      <c r="H45" s="123"/>
      <c r="I45" s="123"/>
      <c r="J45" s="140"/>
    </row>
    <row r="46" spans="2:10" ht="12.75">
      <c r="B46" s="5" t="s">
        <v>2364</v>
      </c>
      <c r="C46" s="43" t="s">
        <v>2480</v>
      </c>
      <c r="D46" s="17"/>
      <c r="E46" s="17"/>
      <c r="F46" s="17"/>
      <c r="G46" s="123"/>
      <c r="H46" s="123"/>
      <c r="I46" s="123"/>
      <c r="J46" s="140"/>
    </row>
    <row r="47" spans="2:10" ht="12.75">
      <c r="B47" s="5" t="s">
        <v>2481</v>
      </c>
      <c r="C47" s="43" t="s">
        <v>2482</v>
      </c>
      <c r="D47" s="17"/>
      <c r="E47" s="17"/>
      <c r="F47" s="17"/>
      <c r="G47" s="123"/>
      <c r="H47" s="123"/>
      <c r="I47" s="123"/>
      <c r="J47" s="140"/>
    </row>
    <row r="48" spans="2:10" ht="104.25" customHeight="1" thickBot="1">
      <c r="B48" s="7" t="s">
        <v>2365</v>
      </c>
      <c r="C48" s="56" t="s">
        <v>2296</v>
      </c>
      <c r="D48" s="23"/>
      <c r="E48" s="23"/>
      <c r="F48" s="23"/>
      <c r="G48" s="133"/>
      <c r="H48" s="133"/>
      <c r="I48" s="133"/>
      <c r="J48" s="141"/>
    </row>
    <row r="49" spans="2:10" ht="13.5" customHeight="1">
      <c r="B49" s="160"/>
      <c r="C49" s="688"/>
      <c r="D49" s="167"/>
      <c r="E49" s="167"/>
      <c r="F49" s="167"/>
      <c r="G49" s="146"/>
      <c r="H49" s="146"/>
      <c r="I49" s="146"/>
      <c r="J49" s="146"/>
    </row>
    <row r="50" spans="4:10" ht="12.75">
      <c r="D50" s="630">
        <f>SUM(D38:D41)</f>
        <v>0</v>
      </c>
      <c r="E50" s="630">
        <f>SUM(E38:E41)</f>
        <v>0</v>
      </c>
      <c r="F50" s="630"/>
      <c r="G50" s="630">
        <f>SUM(G38:G41)</f>
        <v>0</v>
      </c>
      <c r="H50" s="630">
        <f>SUM(H38:H41)</f>
        <v>0</v>
      </c>
      <c r="I50" s="630" t="e">
        <f>SUM(I38:I41)</f>
        <v>#REF!</v>
      </c>
      <c r="J50" s="124"/>
    </row>
    <row r="51" spans="2:10" ht="13.5" thickBot="1">
      <c r="B51" s="142"/>
      <c r="C51" s="631" t="s">
        <v>199</v>
      </c>
      <c r="D51" s="15"/>
      <c r="E51" s="15"/>
      <c r="F51" s="15"/>
      <c r="G51" s="142"/>
      <c r="H51" s="142"/>
      <c r="I51" s="142"/>
      <c r="J51" s="142"/>
    </row>
    <row r="52" spans="2:10" ht="12.75">
      <c r="B52" s="559"/>
      <c r="C52" s="560" t="s">
        <v>200</v>
      </c>
      <c r="D52" s="566">
        <v>150.98399999999998</v>
      </c>
      <c r="E52" s="565"/>
      <c r="F52" s="565"/>
      <c r="G52" s="566" t="e">
        <f>G54+G56+G58+G60</f>
        <v>#REF!</v>
      </c>
      <c r="H52" s="566"/>
      <c r="I52" s="566" t="e">
        <f>I54+I56+I58+I60</f>
        <v>#REF!</v>
      </c>
      <c r="J52" s="567"/>
    </row>
    <row r="53" spans="2:10" ht="12.75">
      <c r="B53" s="561"/>
      <c r="C53" s="562" t="s">
        <v>201</v>
      </c>
      <c r="D53" s="564"/>
      <c r="E53" s="66"/>
      <c r="F53" s="66"/>
      <c r="G53" s="564"/>
      <c r="H53" s="564"/>
      <c r="I53" s="564"/>
      <c r="J53" s="568"/>
    </row>
    <row r="54" spans="2:10" ht="12.75">
      <c r="B54" s="561"/>
      <c r="C54" s="562" t="s">
        <v>1560</v>
      </c>
      <c r="D54" s="564" t="e">
        <f>'П2.1'!$I$29+'П2.2.'!#REF!</f>
        <v>#REF!</v>
      </c>
      <c r="E54" s="66"/>
      <c r="F54" s="66"/>
      <c r="G54" s="564" t="e">
        <f>'П2.1'!I29+'П2.2.'!#REF!</f>
        <v>#REF!</v>
      </c>
      <c r="H54" s="564"/>
      <c r="I54" s="564" t="e">
        <f>'П2.1'!$I$29+'П2.2.'!#REF!</f>
        <v>#REF!</v>
      </c>
      <c r="J54" s="568"/>
    </row>
    <row r="55" spans="2:10" ht="12.75">
      <c r="B55" s="561"/>
      <c r="C55" s="562" t="s">
        <v>1521</v>
      </c>
      <c r="D55" s="624" t="e">
        <f>D54/D52</f>
        <v>#REF!</v>
      </c>
      <c r="E55" s="66"/>
      <c r="F55" s="66"/>
      <c r="G55" s="624" t="e">
        <f>G54/G52</f>
        <v>#REF!</v>
      </c>
      <c r="H55" s="633"/>
      <c r="I55" s="624" t="e">
        <f>I54/I52</f>
        <v>#REF!</v>
      </c>
      <c r="J55" s="568"/>
    </row>
    <row r="56" spans="2:10" ht="12.75">
      <c r="B56" s="561"/>
      <c r="C56" s="562" t="s">
        <v>1561</v>
      </c>
      <c r="D56" s="564">
        <f>'П2.1'!D41+'П2.2.'!D52</f>
        <v>0</v>
      </c>
      <c r="E56" s="66"/>
      <c r="F56" s="66"/>
      <c r="G56" s="564" t="e">
        <f>'П2.1'!I41+'П2.2.'!#REF!</f>
        <v>#REF!</v>
      </c>
      <c r="H56" s="564"/>
      <c r="I56" s="564" t="e">
        <f>'П2.1'!I41+'П2.2.'!#REF!</f>
        <v>#REF!</v>
      </c>
      <c r="J56" s="568"/>
    </row>
    <row r="57" spans="2:10" ht="12.75">
      <c r="B57" s="561"/>
      <c r="C57" s="562" t="s">
        <v>1521</v>
      </c>
      <c r="D57" s="624">
        <f>D56/D52</f>
        <v>0</v>
      </c>
      <c r="E57" s="66"/>
      <c r="F57" s="66"/>
      <c r="G57" s="624" t="e">
        <f>G56/G52</f>
        <v>#REF!</v>
      </c>
      <c r="H57" s="633"/>
      <c r="I57" s="624" t="e">
        <f>I56/I52</f>
        <v>#REF!</v>
      </c>
      <c r="J57" s="568"/>
    </row>
    <row r="58" spans="2:10" ht="12.75">
      <c r="B58" s="561"/>
      <c r="C58" s="562" t="s">
        <v>2319</v>
      </c>
      <c r="D58" s="564">
        <v>114.53399999999999</v>
      </c>
      <c r="E58" s="66"/>
      <c r="F58" s="66"/>
      <c r="G58" s="564" t="e">
        <f>'П2.1'!I42+'П2.2.'!#REF!</f>
        <v>#REF!</v>
      </c>
      <c r="H58" s="564"/>
      <c r="I58" s="564" t="e">
        <f>'П2.1'!$I$42+'П2.2.'!#REF!</f>
        <v>#REF!</v>
      </c>
      <c r="J58" s="568"/>
    </row>
    <row r="59" spans="2:10" ht="12.75">
      <c r="B59" s="619"/>
      <c r="C59" s="562" t="s">
        <v>1521</v>
      </c>
      <c r="D59" s="625">
        <f>D58/D52</f>
        <v>0.7585836909871245</v>
      </c>
      <c r="E59" s="621"/>
      <c r="F59" s="621"/>
      <c r="G59" s="625" t="e">
        <f>G58/G52</f>
        <v>#REF!</v>
      </c>
      <c r="H59" s="634"/>
      <c r="I59" s="625" t="e">
        <f>I58/I52</f>
        <v>#REF!</v>
      </c>
      <c r="J59" s="623"/>
    </row>
    <row r="60" spans="2:10" ht="12.75">
      <c r="B60" s="619"/>
      <c r="C60" s="562" t="s">
        <v>1563</v>
      </c>
      <c r="D60" s="622">
        <v>36.45</v>
      </c>
      <c r="E60" s="621"/>
      <c r="F60" s="621"/>
      <c r="G60" s="622" t="e">
        <f>'П2.1'!I49+'П2.2.'!#REF!</f>
        <v>#REF!</v>
      </c>
      <c r="H60" s="622"/>
      <c r="I60" s="622" t="e">
        <f>'П2.1'!$I$49+'П2.2.'!#REF!</f>
        <v>#REF!</v>
      </c>
      <c r="J60" s="623"/>
    </row>
    <row r="61" spans="2:10" ht="13.5" thickBot="1">
      <c r="B61" s="563"/>
      <c r="C61" s="626" t="s">
        <v>1521</v>
      </c>
      <c r="D61" s="632">
        <f>D60/D52</f>
        <v>0.24141630901287559</v>
      </c>
      <c r="E61" s="68"/>
      <c r="F61" s="68"/>
      <c r="G61" s="632" t="e">
        <f>G60/G52</f>
        <v>#REF!</v>
      </c>
      <c r="H61" s="635"/>
      <c r="I61" s="632" t="e">
        <f>I60/I52</f>
        <v>#REF!</v>
      </c>
      <c r="J61" s="569"/>
    </row>
    <row r="62" spans="2:10" ht="12.75">
      <c r="B62" s="142"/>
      <c r="C62" s="631"/>
      <c r="D62" s="15"/>
      <c r="E62" s="15"/>
      <c r="F62" s="15"/>
      <c r="G62" s="142"/>
      <c r="H62" s="142"/>
      <c r="I62" s="142"/>
      <c r="J62" s="142"/>
    </row>
    <row r="63" spans="2:10" ht="12.75">
      <c r="B63" s="142"/>
      <c r="C63" s="631"/>
      <c r="D63" s="15"/>
      <c r="E63" s="15"/>
      <c r="F63" s="15"/>
      <c r="G63" s="142"/>
      <c r="H63" s="142"/>
      <c r="I63" s="142"/>
      <c r="J63" s="142"/>
    </row>
    <row r="64" spans="7:10" ht="12.75">
      <c r="G64" s="124"/>
      <c r="H64" s="124"/>
      <c r="I64" s="124"/>
      <c r="J64" s="124"/>
    </row>
  </sheetData>
  <sheetProtection/>
  <mergeCells count="15">
    <mergeCell ref="H3:J3"/>
    <mergeCell ref="F25:F26"/>
    <mergeCell ref="G4:H4"/>
    <mergeCell ref="B4:B5"/>
    <mergeCell ref="G25:G26"/>
    <mergeCell ref="I25:I26"/>
    <mergeCell ref="J25:J26"/>
    <mergeCell ref="I4:J4"/>
    <mergeCell ref="C4:C5"/>
    <mergeCell ref="D4:E4"/>
    <mergeCell ref="B3:E3"/>
    <mergeCell ref="H25:H26"/>
    <mergeCell ref="B25:B26"/>
    <mergeCell ref="D25:D26"/>
    <mergeCell ref="E25:E26"/>
  </mergeCells>
  <printOptions/>
  <pageMargins left="0.75" right="0.17" top="1" bottom="1" header="0.5" footer="0.5"/>
  <pageSetup fitToHeight="1" fitToWidth="1" horizontalDpi="600" verticalDpi="600" orientation="portrait" paperSize="9" scale="6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">
      <selection activeCell="B43" sqref="B43:E43"/>
    </sheetView>
  </sheetViews>
  <sheetFormatPr defaultColWidth="9.00390625" defaultRowHeight="12.75"/>
  <cols>
    <col min="3" max="3" width="54.75390625" style="0" customWidth="1"/>
    <col min="4" max="4" width="23.375" style="0" customWidth="1"/>
    <col min="5" max="5" width="22.875" style="0" customWidth="1"/>
  </cols>
  <sheetData>
    <row r="1" ht="12.75">
      <c r="A1" s="53" t="s">
        <v>1177</v>
      </c>
    </row>
    <row r="2" ht="14.25" thickBot="1">
      <c r="B2" s="55"/>
    </row>
    <row r="3" spans="2:5" ht="12.75">
      <c r="B3" s="1754" t="s">
        <v>1163</v>
      </c>
      <c r="C3" s="1755"/>
      <c r="D3" s="1830" t="s">
        <v>237</v>
      </c>
      <c r="E3" s="1969" t="s">
        <v>2500</v>
      </c>
    </row>
    <row r="4" spans="2:5" ht="13.5" thickBot="1">
      <c r="B4" s="1758"/>
      <c r="C4" s="1759"/>
      <c r="D4" s="1750"/>
      <c r="E4" s="1970"/>
    </row>
    <row r="5" spans="2:5" ht="24.75" customHeight="1">
      <c r="B5" s="38" t="s">
        <v>1381</v>
      </c>
      <c r="C5" s="3" t="s">
        <v>2441</v>
      </c>
      <c r="D5" s="3" t="s">
        <v>1414</v>
      </c>
      <c r="E5" s="4" t="s">
        <v>1415</v>
      </c>
    </row>
    <row r="6" spans="2:5" ht="12.75">
      <c r="B6" s="5">
        <v>1</v>
      </c>
      <c r="C6" s="1">
        <v>2</v>
      </c>
      <c r="D6" s="1">
        <v>3</v>
      </c>
      <c r="E6" s="6">
        <v>4</v>
      </c>
    </row>
    <row r="7" spans="2:5" ht="12.75">
      <c r="B7" s="5" t="s">
        <v>1420</v>
      </c>
      <c r="C7" s="2" t="s">
        <v>2501</v>
      </c>
      <c r="D7" s="17"/>
      <c r="E7" s="21"/>
    </row>
    <row r="8" spans="2:5" ht="12.75">
      <c r="B8" s="5" t="s">
        <v>1457</v>
      </c>
      <c r="C8" s="2" t="s">
        <v>2502</v>
      </c>
      <c r="D8" s="17"/>
      <c r="E8" s="21"/>
    </row>
    <row r="9" spans="2:5" ht="12.75">
      <c r="B9" s="5" t="s">
        <v>1459</v>
      </c>
      <c r="C9" s="2" t="s">
        <v>2575</v>
      </c>
      <c r="D9" s="17"/>
      <c r="E9" s="21"/>
    </row>
    <row r="10" spans="2:5" ht="25.5">
      <c r="B10" s="5" t="s">
        <v>1399</v>
      </c>
      <c r="C10" s="2" t="s">
        <v>1164</v>
      </c>
      <c r="D10" s="17"/>
      <c r="E10" s="21"/>
    </row>
    <row r="11" spans="2:5" ht="25.5">
      <c r="B11" s="5" t="s">
        <v>1486</v>
      </c>
      <c r="C11" s="2" t="s">
        <v>1165</v>
      </c>
      <c r="D11" s="17"/>
      <c r="E11" s="21"/>
    </row>
    <row r="12" spans="2:5" ht="25.5">
      <c r="B12" s="5" t="s">
        <v>2348</v>
      </c>
      <c r="C12" s="2" t="s">
        <v>1166</v>
      </c>
      <c r="D12" s="17"/>
      <c r="E12" s="21"/>
    </row>
    <row r="13" spans="2:5" ht="12.75">
      <c r="B13" s="5" t="s">
        <v>2349</v>
      </c>
      <c r="C13" s="2" t="s">
        <v>2576</v>
      </c>
      <c r="D13" s="17"/>
      <c r="E13" s="21"/>
    </row>
    <row r="14" spans="2:5" ht="12.75">
      <c r="B14" s="5" t="s">
        <v>2350</v>
      </c>
      <c r="C14" s="2" t="s">
        <v>2577</v>
      </c>
      <c r="D14" s="17"/>
      <c r="E14" s="21"/>
    </row>
    <row r="15" spans="2:5" ht="25.5">
      <c r="B15" s="5" t="s">
        <v>2351</v>
      </c>
      <c r="C15" s="2" t="s">
        <v>1167</v>
      </c>
      <c r="D15" s="17"/>
      <c r="E15" s="21"/>
    </row>
    <row r="16" spans="2:5" ht="25.5">
      <c r="B16" s="5" t="s">
        <v>2352</v>
      </c>
      <c r="C16" s="2" t="s">
        <v>1168</v>
      </c>
      <c r="D16" s="17"/>
      <c r="E16" s="21"/>
    </row>
    <row r="17" spans="2:5" ht="12.75">
      <c r="B17" s="5" t="s">
        <v>2353</v>
      </c>
      <c r="C17" s="2" t="s">
        <v>2578</v>
      </c>
      <c r="D17" s="17"/>
      <c r="E17" s="21"/>
    </row>
    <row r="18" spans="2:5" ht="12.75">
      <c r="B18" s="5" t="s">
        <v>2354</v>
      </c>
      <c r="C18" s="2" t="s">
        <v>2579</v>
      </c>
      <c r="D18" s="17"/>
      <c r="E18" s="21"/>
    </row>
    <row r="19" spans="2:5" ht="12.75">
      <c r="B19" s="5" t="s">
        <v>2355</v>
      </c>
      <c r="C19" s="2" t="s">
        <v>1143</v>
      </c>
      <c r="D19" s="17"/>
      <c r="E19" s="21"/>
    </row>
    <row r="20" spans="2:5" ht="12.75">
      <c r="B20" s="5" t="s">
        <v>2356</v>
      </c>
      <c r="C20" s="2" t="s">
        <v>1144</v>
      </c>
      <c r="D20" s="17"/>
      <c r="E20" s="21"/>
    </row>
    <row r="21" spans="2:5" ht="25.5">
      <c r="B21" s="5" t="s">
        <v>2357</v>
      </c>
      <c r="C21" s="2" t="s">
        <v>1170</v>
      </c>
      <c r="D21" s="17"/>
      <c r="E21" s="21"/>
    </row>
    <row r="22" spans="2:5" ht="25.5">
      <c r="B22" s="5" t="s">
        <v>2358</v>
      </c>
      <c r="C22" s="2" t="s">
        <v>1171</v>
      </c>
      <c r="D22" s="17"/>
      <c r="E22" s="21"/>
    </row>
    <row r="23" spans="2:5" ht="25.5">
      <c r="B23" s="5" t="s">
        <v>2359</v>
      </c>
      <c r="C23" s="2" t="s">
        <v>1172</v>
      </c>
      <c r="D23" s="17"/>
      <c r="E23" s="21"/>
    </row>
    <row r="24" spans="2:5" ht="12.75">
      <c r="B24" s="5"/>
      <c r="C24" s="2" t="s">
        <v>1145</v>
      </c>
      <c r="D24" s="17"/>
      <c r="E24" s="21"/>
    </row>
    <row r="25" spans="2:5" ht="25.5">
      <c r="B25" s="5" t="s">
        <v>2360</v>
      </c>
      <c r="C25" s="2" t="s">
        <v>1173</v>
      </c>
      <c r="D25" s="17"/>
      <c r="E25" s="21"/>
    </row>
    <row r="26" spans="2:5" ht="12.75">
      <c r="B26" s="5" t="s">
        <v>2443</v>
      </c>
      <c r="C26" s="2" t="s">
        <v>1146</v>
      </c>
      <c r="D26" s="17"/>
      <c r="E26" s="21"/>
    </row>
    <row r="27" spans="2:5" ht="12.75">
      <c r="B27" s="5" t="s">
        <v>2361</v>
      </c>
      <c r="C27" s="2" t="s">
        <v>1147</v>
      </c>
      <c r="D27" s="17"/>
      <c r="E27" s="21"/>
    </row>
    <row r="28" spans="2:5" ht="12.75">
      <c r="B28" s="5" t="s">
        <v>1148</v>
      </c>
      <c r="C28" s="2" t="s">
        <v>1149</v>
      </c>
      <c r="D28" s="17"/>
      <c r="E28" s="21"/>
    </row>
    <row r="29" spans="2:5" ht="12.75">
      <c r="B29" s="5" t="s">
        <v>1150</v>
      </c>
      <c r="C29" s="2" t="s">
        <v>1151</v>
      </c>
      <c r="D29" s="17"/>
      <c r="E29" s="21"/>
    </row>
    <row r="30" spans="2:5" ht="12.75">
      <c r="B30" s="5" t="s">
        <v>2362</v>
      </c>
      <c r="C30" s="2" t="s">
        <v>1152</v>
      </c>
      <c r="D30" s="17"/>
      <c r="E30" s="21"/>
    </row>
    <row r="31" spans="2:5" ht="25.5">
      <c r="B31" s="5" t="s">
        <v>2363</v>
      </c>
      <c r="C31" s="2" t="s">
        <v>1174</v>
      </c>
      <c r="D31" s="17"/>
      <c r="E31" s="21"/>
    </row>
    <row r="32" spans="2:5" ht="12.75">
      <c r="B32" s="5" t="s">
        <v>2364</v>
      </c>
      <c r="C32" s="2" t="s">
        <v>1153</v>
      </c>
      <c r="D32" s="17"/>
      <c r="E32" s="21"/>
    </row>
    <row r="33" spans="2:5" ht="12.75">
      <c r="B33" s="5" t="s">
        <v>2365</v>
      </c>
      <c r="C33" s="2" t="s">
        <v>1154</v>
      </c>
      <c r="D33" s="17"/>
      <c r="E33" s="21"/>
    </row>
    <row r="34" spans="2:5" ht="12.75">
      <c r="B34" s="5" t="s">
        <v>2366</v>
      </c>
      <c r="C34" s="2" t="s">
        <v>1175</v>
      </c>
      <c r="D34" s="17"/>
      <c r="E34" s="21"/>
    </row>
    <row r="35" spans="2:5" ht="12.75">
      <c r="B35" s="5"/>
      <c r="C35" s="2" t="s">
        <v>1176</v>
      </c>
      <c r="D35" s="17"/>
      <c r="E35" s="21"/>
    </row>
    <row r="36" spans="2:5" ht="12.75">
      <c r="B36" s="5"/>
      <c r="C36" s="2" t="s">
        <v>1155</v>
      </c>
      <c r="D36" s="17"/>
      <c r="E36" s="21"/>
    </row>
    <row r="37" spans="2:5" ht="12.75">
      <c r="B37" s="5"/>
      <c r="C37" s="2" t="s">
        <v>1156</v>
      </c>
      <c r="D37" s="17"/>
      <c r="E37" s="21"/>
    </row>
    <row r="38" spans="2:5" ht="12.75">
      <c r="B38" s="5" t="s">
        <v>2367</v>
      </c>
      <c r="C38" s="2" t="s">
        <v>1157</v>
      </c>
      <c r="D38" s="17"/>
      <c r="E38" s="21"/>
    </row>
    <row r="39" spans="2:5" ht="12.75">
      <c r="B39" s="5" t="s">
        <v>2444</v>
      </c>
      <c r="C39" s="2" t="s">
        <v>1158</v>
      </c>
      <c r="D39" s="17"/>
      <c r="E39" s="21"/>
    </row>
    <row r="40" spans="2:5" ht="12.75">
      <c r="B40" s="5" t="s">
        <v>1159</v>
      </c>
      <c r="C40" s="2" t="s">
        <v>1160</v>
      </c>
      <c r="D40" s="17"/>
      <c r="E40" s="21"/>
    </row>
    <row r="41" spans="2:5" ht="13.5" thickBot="1">
      <c r="B41" s="7" t="s">
        <v>1161</v>
      </c>
      <c r="C41" s="8" t="s">
        <v>1162</v>
      </c>
      <c r="D41" s="23"/>
      <c r="E41" s="24"/>
    </row>
    <row r="43" spans="2:5" ht="12.75">
      <c r="B43" s="1971" t="s">
        <v>1179</v>
      </c>
      <c r="C43" s="1972"/>
      <c r="D43" s="1972"/>
      <c r="E43" s="1972"/>
    </row>
    <row r="44" ht="12.75">
      <c r="B44" s="54"/>
    </row>
  </sheetData>
  <sheetProtection/>
  <mergeCells count="4">
    <mergeCell ref="B3:C4"/>
    <mergeCell ref="D3:D4"/>
    <mergeCell ref="E3:E4"/>
    <mergeCell ref="B43:E4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7" sqref="A17"/>
    </sheetView>
  </sheetViews>
  <sheetFormatPr defaultColWidth="9.00390625" defaultRowHeight="12.75"/>
  <cols>
    <col min="3" max="3" width="49.00390625" style="0" customWidth="1"/>
    <col min="4" max="4" width="13.375" style="0" customWidth="1"/>
    <col min="5" max="5" width="17.25390625" style="0" customWidth="1"/>
    <col min="6" max="6" width="16.375" style="0" customWidth="1"/>
    <col min="7" max="7" width="18.00390625" style="0" customWidth="1"/>
  </cols>
  <sheetData>
    <row r="1" ht="12.75">
      <c r="A1" s="53" t="s">
        <v>1181</v>
      </c>
    </row>
    <row r="2" ht="13.5" thickBot="1"/>
    <row r="3" spans="2:7" ht="12.75">
      <c r="B3" s="1973" t="s">
        <v>1208</v>
      </c>
      <c r="C3" s="1974"/>
      <c r="D3" s="1974"/>
      <c r="E3" s="1974"/>
      <c r="F3" s="1830" t="s">
        <v>237</v>
      </c>
      <c r="G3" s="1969" t="s">
        <v>1180</v>
      </c>
    </row>
    <row r="4" spans="2:7" ht="13.5" thickBot="1">
      <c r="B4" s="1975"/>
      <c r="C4" s="1976"/>
      <c r="D4" s="1976"/>
      <c r="E4" s="1976"/>
      <c r="F4" s="1750"/>
      <c r="G4" s="1970"/>
    </row>
    <row r="5" spans="2:7" ht="25.5" customHeight="1">
      <c r="B5" s="1826" t="s">
        <v>1381</v>
      </c>
      <c r="C5" s="1828" t="s">
        <v>2446</v>
      </c>
      <c r="D5" s="1828" t="s">
        <v>1414</v>
      </c>
      <c r="E5" s="1828"/>
      <c r="F5" s="1828" t="s">
        <v>2489</v>
      </c>
      <c r="G5" s="1977"/>
    </row>
    <row r="6" spans="2:7" ht="12.75">
      <c r="B6" s="1866"/>
      <c r="C6" s="1867"/>
      <c r="D6" s="1867"/>
      <c r="E6" s="1867"/>
      <c r="F6" s="1867"/>
      <c r="G6" s="1868"/>
    </row>
    <row r="7" spans="2:7" ht="25.5">
      <c r="B7" s="1866"/>
      <c r="C7" s="1867"/>
      <c r="D7" s="1" t="s">
        <v>277</v>
      </c>
      <c r="E7" s="1" t="s">
        <v>2488</v>
      </c>
      <c r="F7" s="1" t="s">
        <v>277</v>
      </c>
      <c r="G7" s="6" t="s">
        <v>2488</v>
      </c>
    </row>
    <row r="8" spans="2:7" ht="12.75">
      <c r="B8" s="5">
        <v>1</v>
      </c>
      <c r="C8" s="1">
        <v>2</v>
      </c>
      <c r="D8" s="1">
        <v>3</v>
      </c>
      <c r="E8" s="1">
        <v>4</v>
      </c>
      <c r="F8" s="1">
        <v>5</v>
      </c>
      <c r="G8" s="6">
        <v>6</v>
      </c>
    </row>
    <row r="9" spans="2:7" ht="12.75">
      <c r="B9" s="5" t="s">
        <v>1420</v>
      </c>
      <c r="C9" s="2" t="s">
        <v>1182</v>
      </c>
      <c r="D9" s="17"/>
      <c r="E9" s="17"/>
      <c r="F9" s="17"/>
      <c r="G9" s="21"/>
    </row>
    <row r="10" spans="2:7" ht="12.75">
      <c r="B10" s="5" t="s">
        <v>1457</v>
      </c>
      <c r="C10" s="2" t="s">
        <v>1183</v>
      </c>
      <c r="D10" s="17"/>
      <c r="E10" s="17"/>
      <c r="F10" s="17"/>
      <c r="G10" s="21"/>
    </row>
    <row r="11" spans="2:7" ht="12.75">
      <c r="B11" s="5" t="s">
        <v>1459</v>
      </c>
      <c r="C11" s="2" t="s">
        <v>1209</v>
      </c>
      <c r="D11" s="17"/>
      <c r="E11" s="17"/>
      <c r="F11" s="17"/>
      <c r="G11" s="21"/>
    </row>
    <row r="12" spans="2:7" ht="25.5">
      <c r="B12" s="5" t="s">
        <v>1399</v>
      </c>
      <c r="C12" s="2" t="s">
        <v>1210</v>
      </c>
      <c r="D12" s="17"/>
      <c r="E12" s="17"/>
      <c r="F12" s="17"/>
      <c r="G12" s="21"/>
    </row>
    <row r="13" spans="2:7" ht="25.5">
      <c r="B13" s="5" t="s">
        <v>1486</v>
      </c>
      <c r="C13" s="2" t="s">
        <v>1211</v>
      </c>
      <c r="D13" s="17"/>
      <c r="E13" s="17"/>
      <c r="F13" s="17"/>
      <c r="G13" s="21"/>
    </row>
    <row r="14" spans="2:7" ht="25.5">
      <c r="B14" s="5" t="s">
        <v>2348</v>
      </c>
      <c r="C14" s="2" t="s">
        <v>1212</v>
      </c>
      <c r="D14" s="17"/>
      <c r="E14" s="17"/>
      <c r="F14" s="17"/>
      <c r="G14" s="21"/>
    </row>
    <row r="15" spans="2:7" ht="12.75">
      <c r="B15" s="5" t="s">
        <v>2349</v>
      </c>
      <c r="C15" s="2" t="s">
        <v>1213</v>
      </c>
      <c r="D15" s="17"/>
      <c r="E15" s="17"/>
      <c r="F15" s="17"/>
      <c r="G15" s="21"/>
    </row>
    <row r="16" spans="2:7" ht="12.75">
      <c r="B16" s="5" t="s">
        <v>2350</v>
      </c>
      <c r="C16" s="2" t="s">
        <v>1184</v>
      </c>
      <c r="D16" s="17"/>
      <c r="E16" s="17"/>
      <c r="F16" s="17"/>
      <c r="G16" s="21"/>
    </row>
    <row r="17" spans="2:7" ht="25.5">
      <c r="B17" s="5" t="s">
        <v>2351</v>
      </c>
      <c r="C17" s="2" t="s">
        <v>1214</v>
      </c>
      <c r="D17" s="17"/>
      <c r="E17" s="17"/>
      <c r="F17" s="17"/>
      <c r="G17" s="21"/>
    </row>
    <row r="18" spans="2:7" ht="25.5">
      <c r="B18" s="5" t="s">
        <v>2352</v>
      </c>
      <c r="C18" s="2" t="s">
        <v>1215</v>
      </c>
      <c r="D18" s="17"/>
      <c r="E18" s="17"/>
      <c r="F18" s="17"/>
      <c r="G18" s="21"/>
    </row>
    <row r="19" spans="2:7" ht="12.75">
      <c r="B19" s="5" t="s">
        <v>2353</v>
      </c>
      <c r="C19" s="2" t="s">
        <v>1185</v>
      </c>
      <c r="D19" s="17"/>
      <c r="E19" s="17"/>
      <c r="F19" s="17"/>
      <c r="G19" s="21"/>
    </row>
    <row r="20" spans="2:7" ht="12.75">
      <c r="B20" s="5" t="s">
        <v>2354</v>
      </c>
      <c r="C20" s="2" t="s">
        <v>1216</v>
      </c>
      <c r="D20" s="17"/>
      <c r="E20" s="17"/>
      <c r="F20" s="17"/>
      <c r="G20" s="21"/>
    </row>
    <row r="21" spans="2:7" ht="12.75">
      <c r="B21" s="5" t="s">
        <v>2355</v>
      </c>
      <c r="C21" s="2" t="s">
        <v>1186</v>
      </c>
      <c r="D21" s="17"/>
      <c r="E21" s="17"/>
      <c r="F21" s="17"/>
      <c r="G21" s="21"/>
    </row>
    <row r="22" spans="2:7" ht="12.75">
      <c r="B22" s="5" t="s">
        <v>2356</v>
      </c>
      <c r="C22" s="2" t="s">
        <v>1187</v>
      </c>
      <c r="D22" s="17"/>
      <c r="E22" s="17"/>
      <c r="F22" s="17"/>
      <c r="G22" s="21"/>
    </row>
    <row r="23" spans="2:7" ht="25.5">
      <c r="B23" s="5" t="s">
        <v>2357</v>
      </c>
      <c r="C23" s="2" t="s">
        <v>1217</v>
      </c>
      <c r="D23" s="17"/>
      <c r="E23" s="17"/>
      <c r="F23" s="17"/>
      <c r="G23" s="21"/>
    </row>
    <row r="24" spans="2:7" ht="25.5">
      <c r="B24" s="5" t="s">
        <v>2358</v>
      </c>
      <c r="C24" s="2" t="s">
        <v>1221</v>
      </c>
      <c r="D24" s="17"/>
      <c r="E24" s="17"/>
      <c r="F24" s="17"/>
      <c r="G24" s="21"/>
    </row>
    <row r="25" spans="2:7" ht="25.5">
      <c r="B25" s="5" t="s">
        <v>2359</v>
      </c>
      <c r="C25" s="2" t="s">
        <v>1222</v>
      </c>
      <c r="D25" s="17"/>
      <c r="E25" s="17"/>
      <c r="F25" s="17"/>
      <c r="G25" s="21"/>
    </row>
    <row r="26" spans="2:7" ht="12.75">
      <c r="B26" s="5"/>
      <c r="C26" s="2" t="s">
        <v>1188</v>
      </c>
      <c r="D26" s="17"/>
      <c r="E26" s="17"/>
      <c r="F26" s="17"/>
      <c r="G26" s="21"/>
    </row>
    <row r="27" spans="2:7" ht="25.5">
      <c r="B27" s="5" t="s">
        <v>2360</v>
      </c>
      <c r="C27" s="2" t="s">
        <v>1223</v>
      </c>
      <c r="D27" s="17"/>
      <c r="E27" s="17"/>
      <c r="F27" s="17"/>
      <c r="G27" s="21"/>
    </row>
    <row r="28" spans="2:7" ht="12.75">
      <c r="B28" s="5" t="s">
        <v>2443</v>
      </c>
      <c r="C28" s="2" t="s">
        <v>1201</v>
      </c>
      <c r="D28" s="17"/>
      <c r="E28" s="17"/>
      <c r="F28" s="17"/>
      <c r="G28" s="21"/>
    </row>
    <row r="29" spans="2:7" ht="12.75">
      <c r="B29" s="5" t="s">
        <v>325</v>
      </c>
      <c r="C29" s="2" t="s">
        <v>1224</v>
      </c>
      <c r="D29" s="17"/>
      <c r="E29" s="17"/>
      <c r="F29" s="17"/>
      <c r="G29" s="21"/>
    </row>
    <row r="30" spans="2:7" ht="12.75">
      <c r="B30" s="5" t="s">
        <v>328</v>
      </c>
      <c r="C30" s="2" t="s">
        <v>1202</v>
      </c>
      <c r="D30" s="17"/>
      <c r="E30" s="17"/>
      <c r="F30" s="17"/>
      <c r="G30" s="21"/>
    </row>
    <row r="31" spans="2:7" ht="12.75">
      <c r="B31" s="5" t="s">
        <v>329</v>
      </c>
      <c r="C31" s="2" t="s">
        <v>1225</v>
      </c>
      <c r="D31" s="17"/>
      <c r="E31" s="17"/>
      <c r="F31" s="17"/>
      <c r="G31" s="21"/>
    </row>
    <row r="32" spans="2:7" ht="12.75">
      <c r="B32" s="5" t="s">
        <v>1203</v>
      </c>
      <c r="C32" s="2" t="s">
        <v>1226</v>
      </c>
      <c r="D32" s="17"/>
      <c r="E32" s="17"/>
      <c r="F32" s="17"/>
      <c r="G32" s="21"/>
    </row>
    <row r="33" spans="2:7" ht="12.75">
      <c r="B33" s="5"/>
      <c r="C33" s="2" t="s">
        <v>1204</v>
      </c>
      <c r="D33" s="17"/>
      <c r="E33" s="17"/>
      <c r="F33" s="17"/>
      <c r="G33" s="21"/>
    </row>
    <row r="34" spans="2:7" ht="12.75">
      <c r="B34" s="5" t="s">
        <v>1205</v>
      </c>
      <c r="C34" s="2" t="s">
        <v>1227</v>
      </c>
      <c r="D34" s="17"/>
      <c r="E34" s="17"/>
      <c r="F34" s="17"/>
      <c r="G34" s="21"/>
    </row>
    <row r="35" spans="2:7" ht="13.5" thickBot="1">
      <c r="B35" s="7" t="s">
        <v>1206</v>
      </c>
      <c r="C35" s="8" t="s">
        <v>1207</v>
      </c>
      <c r="D35" s="23"/>
      <c r="E35" s="23"/>
      <c r="F35" s="23"/>
      <c r="G35" s="24"/>
    </row>
    <row r="37" spans="2:5" ht="12.75" customHeight="1">
      <c r="B37" s="1971" t="s">
        <v>1179</v>
      </c>
      <c r="C37" s="1972"/>
      <c r="D37" s="1972"/>
      <c r="E37" s="1972"/>
    </row>
  </sheetData>
  <sheetProtection/>
  <mergeCells count="8">
    <mergeCell ref="B3:E4"/>
    <mergeCell ref="F3:F4"/>
    <mergeCell ref="G3:G4"/>
    <mergeCell ref="B37:E37"/>
    <mergeCell ref="B5:B7"/>
    <mergeCell ref="C5:C7"/>
    <mergeCell ref="D5:E6"/>
    <mergeCell ref="F5:G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C25">
      <selection activeCell="C9" sqref="C9"/>
    </sheetView>
  </sheetViews>
  <sheetFormatPr defaultColWidth="9.00390625" defaultRowHeight="12.75"/>
  <cols>
    <col min="3" max="3" width="46.00390625" style="0" customWidth="1"/>
    <col min="5" max="5" width="11.875" style="0" customWidth="1"/>
    <col min="7" max="7" width="13.625" style="0" customWidth="1"/>
  </cols>
  <sheetData>
    <row r="1" ht="12.75">
      <c r="A1" s="53" t="s">
        <v>1255</v>
      </c>
    </row>
    <row r="2" ht="13.5" thickBot="1"/>
    <row r="3" spans="2:7" ht="12.75">
      <c r="B3" s="1826" t="s">
        <v>1229</v>
      </c>
      <c r="C3" s="1974"/>
      <c r="D3" s="1974"/>
      <c r="E3" s="1830" t="s">
        <v>237</v>
      </c>
      <c r="F3" s="1826" t="s">
        <v>1228</v>
      </c>
      <c r="G3" s="1871"/>
    </row>
    <row r="4" spans="2:7" ht="13.5" thickBot="1">
      <c r="B4" s="1978"/>
      <c r="C4" s="1979"/>
      <c r="D4" s="1979"/>
      <c r="E4" s="1751"/>
      <c r="F4" s="1872"/>
      <c r="G4" s="1873"/>
    </row>
    <row r="5" spans="2:7" ht="12.75" customHeight="1">
      <c r="B5" s="1860" t="s">
        <v>1381</v>
      </c>
      <c r="C5" s="1862" t="s">
        <v>2446</v>
      </c>
      <c r="D5" s="1862" t="s">
        <v>1414</v>
      </c>
      <c r="E5" s="1862"/>
      <c r="F5" s="1862" t="s">
        <v>2489</v>
      </c>
      <c r="G5" s="1865"/>
    </row>
    <row r="6" spans="2:7" ht="13.5" customHeight="1">
      <c r="B6" s="1866"/>
      <c r="C6" s="1867"/>
      <c r="D6" s="1867"/>
      <c r="E6" s="1867"/>
      <c r="F6" s="1867"/>
      <c r="G6" s="1868"/>
    </row>
    <row r="7" spans="2:7" ht="38.25">
      <c r="B7" s="1866"/>
      <c r="C7" s="1867"/>
      <c r="D7" s="1" t="s">
        <v>277</v>
      </c>
      <c r="E7" s="1" t="s">
        <v>2488</v>
      </c>
      <c r="F7" s="1" t="s">
        <v>277</v>
      </c>
      <c r="G7" s="6" t="s">
        <v>2488</v>
      </c>
    </row>
    <row r="8" spans="2:7" ht="13.5" thickBot="1">
      <c r="B8" s="57">
        <v>1</v>
      </c>
      <c r="C8" s="58">
        <v>2</v>
      </c>
      <c r="D8" s="58">
        <v>3</v>
      </c>
      <c r="E8" s="58">
        <v>4</v>
      </c>
      <c r="F8" s="58">
        <v>5</v>
      </c>
      <c r="G8" s="59">
        <v>6</v>
      </c>
    </row>
    <row r="9" spans="2:7" ht="25.5">
      <c r="B9" s="38" t="s">
        <v>1420</v>
      </c>
      <c r="C9" s="61" t="s">
        <v>1245</v>
      </c>
      <c r="D9" s="52"/>
      <c r="E9" s="52"/>
      <c r="F9" s="52"/>
      <c r="G9" s="51"/>
    </row>
    <row r="10" spans="2:7" ht="12.75">
      <c r="B10" s="5" t="s">
        <v>1422</v>
      </c>
      <c r="C10" s="60" t="s">
        <v>1246</v>
      </c>
      <c r="D10" s="17"/>
      <c r="E10" s="17"/>
      <c r="F10" s="17"/>
      <c r="G10" s="21"/>
    </row>
    <row r="11" spans="2:7" ht="12.75">
      <c r="B11" s="5" t="s">
        <v>1230</v>
      </c>
      <c r="C11" s="2" t="s">
        <v>1231</v>
      </c>
      <c r="D11" s="17"/>
      <c r="E11" s="17"/>
      <c r="F11" s="17"/>
      <c r="G11" s="21"/>
    </row>
    <row r="12" spans="2:7" ht="12.75">
      <c r="B12" s="5" t="s">
        <v>1426</v>
      </c>
      <c r="C12" s="2" t="s">
        <v>1232</v>
      </c>
      <c r="D12" s="17"/>
      <c r="E12" s="17"/>
      <c r="F12" s="17"/>
      <c r="G12" s="21"/>
    </row>
    <row r="13" spans="2:7" ht="14.25" customHeight="1">
      <c r="B13" s="5" t="s">
        <v>1457</v>
      </c>
      <c r="C13" s="2" t="s">
        <v>2442</v>
      </c>
      <c r="D13" s="17"/>
      <c r="E13" s="17"/>
      <c r="F13" s="17"/>
      <c r="G13" s="21"/>
    </row>
    <row r="14" spans="2:7" ht="25.5">
      <c r="B14" s="5" t="s">
        <v>1459</v>
      </c>
      <c r="C14" s="2" t="s">
        <v>1247</v>
      </c>
      <c r="D14" s="17"/>
      <c r="E14" s="17"/>
      <c r="F14" s="17"/>
      <c r="G14" s="21"/>
    </row>
    <row r="15" spans="2:7" ht="25.5">
      <c r="B15" s="5" t="s">
        <v>1399</v>
      </c>
      <c r="C15" s="2" t="s">
        <v>1248</v>
      </c>
      <c r="D15" s="17"/>
      <c r="E15" s="17"/>
      <c r="F15" s="17"/>
      <c r="G15" s="21"/>
    </row>
    <row r="16" spans="2:7" ht="25.5">
      <c r="B16" s="5" t="s">
        <v>1486</v>
      </c>
      <c r="C16" s="2" t="s">
        <v>1249</v>
      </c>
      <c r="D16" s="17"/>
      <c r="E16" s="17"/>
      <c r="F16" s="17"/>
      <c r="G16" s="21"/>
    </row>
    <row r="17" spans="2:7" ht="12.75">
      <c r="B17" s="5" t="s">
        <v>1487</v>
      </c>
      <c r="C17" s="2" t="s">
        <v>2448</v>
      </c>
      <c r="D17" s="17"/>
      <c r="E17" s="17"/>
      <c r="F17" s="17"/>
      <c r="G17" s="21"/>
    </row>
    <row r="18" spans="2:7" ht="12.75">
      <c r="B18" s="5" t="s">
        <v>1489</v>
      </c>
      <c r="C18" s="2" t="s">
        <v>2457</v>
      </c>
      <c r="D18" s="17"/>
      <c r="E18" s="17"/>
      <c r="F18" s="17"/>
      <c r="G18" s="21"/>
    </row>
    <row r="19" spans="2:7" ht="25.5">
      <c r="B19" s="5" t="s">
        <v>1491</v>
      </c>
      <c r="C19" s="2" t="s">
        <v>1250</v>
      </c>
      <c r="D19" s="17"/>
      <c r="E19" s="17"/>
      <c r="F19" s="17"/>
      <c r="G19" s="21"/>
    </row>
    <row r="20" spans="2:7" ht="25.5">
      <c r="B20" s="5" t="s">
        <v>2348</v>
      </c>
      <c r="C20" s="2" t="s">
        <v>2493</v>
      </c>
      <c r="D20" s="17"/>
      <c r="E20" s="17"/>
      <c r="F20" s="17"/>
      <c r="G20" s="21"/>
    </row>
    <row r="21" spans="2:7" ht="12.75">
      <c r="B21" s="5" t="s">
        <v>2352</v>
      </c>
      <c r="C21" s="2" t="s">
        <v>2459</v>
      </c>
      <c r="D21" s="17"/>
      <c r="E21" s="17"/>
      <c r="F21" s="17"/>
      <c r="G21" s="21"/>
    </row>
    <row r="22" spans="2:7" ht="12.75">
      <c r="B22" s="5" t="s">
        <v>2353</v>
      </c>
      <c r="C22" s="2" t="s">
        <v>2460</v>
      </c>
      <c r="D22" s="17"/>
      <c r="E22" s="17"/>
      <c r="F22" s="17"/>
      <c r="G22" s="21"/>
    </row>
    <row r="23" spans="2:7" ht="12.75">
      <c r="B23" s="5" t="s">
        <v>1233</v>
      </c>
      <c r="C23" s="2" t="s">
        <v>2462</v>
      </c>
      <c r="D23" s="17"/>
      <c r="E23" s="17"/>
      <c r="F23" s="17"/>
      <c r="G23" s="21"/>
    </row>
    <row r="24" spans="2:7" ht="12.75">
      <c r="B24" s="5" t="s">
        <v>1234</v>
      </c>
      <c r="C24" s="2" t="s">
        <v>2464</v>
      </c>
      <c r="D24" s="17"/>
      <c r="E24" s="17"/>
      <c r="F24" s="17"/>
      <c r="G24" s="21"/>
    </row>
    <row r="25" spans="2:7" ht="25.5">
      <c r="B25" s="5" t="s">
        <v>1235</v>
      </c>
      <c r="C25" s="2" t="s">
        <v>1251</v>
      </c>
      <c r="D25" s="17"/>
      <c r="E25" s="17"/>
      <c r="F25" s="17"/>
      <c r="G25" s="21"/>
    </row>
    <row r="26" spans="2:7" ht="25.5">
      <c r="B26" s="5" t="s">
        <v>1236</v>
      </c>
      <c r="C26" s="2" t="s">
        <v>1252</v>
      </c>
      <c r="D26" s="17"/>
      <c r="E26" s="17"/>
      <c r="F26" s="17"/>
      <c r="G26" s="21"/>
    </row>
    <row r="27" spans="2:7" ht="38.25">
      <c r="B27" s="5" t="s">
        <v>1237</v>
      </c>
      <c r="C27" s="2" t="s">
        <v>1253</v>
      </c>
      <c r="D27" s="17"/>
      <c r="E27" s="17"/>
      <c r="F27" s="17"/>
      <c r="G27" s="21"/>
    </row>
    <row r="28" spans="2:7" ht="12.75">
      <c r="B28" s="5"/>
      <c r="C28" s="2" t="s">
        <v>2469</v>
      </c>
      <c r="D28" s="17"/>
      <c r="E28" s="17"/>
      <c r="F28" s="17"/>
      <c r="G28" s="21"/>
    </row>
    <row r="29" spans="2:7" ht="12.75">
      <c r="B29" s="5"/>
      <c r="C29" s="2" t="s">
        <v>1238</v>
      </c>
      <c r="D29" s="17"/>
      <c r="E29" s="17"/>
      <c r="F29" s="17"/>
      <c r="G29" s="21"/>
    </row>
    <row r="30" spans="2:7" ht="25.5">
      <c r="B30" s="5" t="s">
        <v>1239</v>
      </c>
      <c r="C30" s="2" t="s">
        <v>1254</v>
      </c>
      <c r="D30" s="17"/>
      <c r="E30" s="17"/>
      <c r="F30" s="17"/>
      <c r="G30" s="21"/>
    </row>
    <row r="31" spans="2:7" ht="12.75">
      <c r="B31" s="5" t="s">
        <v>1240</v>
      </c>
      <c r="C31" s="2" t="s">
        <v>2473</v>
      </c>
      <c r="D31" s="17"/>
      <c r="E31" s="17"/>
      <c r="F31" s="17"/>
      <c r="G31" s="21"/>
    </row>
    <row r="32" spans="2:7" ht="15.75" customHeight="1">
      <c r="B32" s="5" t="s">
        <v>2354</v>
      </c>
      <c r="C32" s="2" t="s">
        <v>2474</v>
      </c>
      <c r="D32" s="17"/>
      <c r="E32" s="17"/>
      <c r="F32" s="17"/>
      <c r="G32" s="21"/>
    </row>
    <row r="33" spans="2:7" ht="25.5">
      <c r="B33" s="5" t="s">
        <v>325</v>
      </c>
      <c r="C33" s="2" t="s">
        <v>2498</v>
      </c>
      <c r="D33" s="17"/>
      <c r="E33" s="17"/>
      <c r="F33" s="17"/>
      <c r="G33" s="21"/>
    </row>
    <row r="34" spans="2:7" ht="12.75">
      <c r="B34" s="5" t="s">
        <v>327</v>
      </c>
      <c r="C34" s="2" t="s">
        <v>2475</v>
      </c>
      <c r="D34" s="17"/>
      <c r="E34" s="17"/>
      <c r="F34" s="17"/>
      <c r="G34" s="21"/>
    </row>
    <row r="35" spans="2:7" ht="12.75">
      <c r="B35" s="5" t="s">
        <v>328</v>
      </c>
      <c r="C35" s="2" t="s">
        <v>1241</v>
      </c>
      <c r="D35" s="17"/>
      <c r="E35" s="17"/>
      <c r="F35" s="17"/>
      <c r="G35" s="21"/>
    </row>
    <row r="36" spans="2:7" ht="12.75">
      <c r="B36" s="5" t="s">
        <v>329</v>
      </c>
      <c r="C36" s="2" t="s">
        <v>1242</v>
      </c>
      <c r="D36" s="17"/>
      <c r="E36" s="17"/>
      <c r="F36" s="17"/>
      <c r="G36" s="21"/>
    </row>
    <row r="37" spans="2:7" ht="12.75">
      <c r="B37" s="5" t="s">
        <v>1203</v>
      </c>
      <c r="C37" s="2" t="s">
        <v>1243</v>
      </c>
      <c r="D37" s="17"/>
      <c r="E37" s="17"/>
      <c r="F37" s="17"/>
      <c r="G37" s="21"/>
    </row>
    <row r="38" spans="2:7" ht="13.5" thickBot="1">
      <c r="B38" s="7" t="s">
        <v>1244</v>
      </c>
      <c r="C38" s="8" t="s">
        <v>2482</v>
      </c>
      <c r="D38" s="23"/>
      <c r="E38" s="23"/>
      <c r="F38" s="23"/>
      <c r="G38" s="24"/>
    </row>
  </sheetData>
  <sheetProtection/>
  <mergeCells count="7">
    <mergeCell ref="B3:D4"/>
    <mergeCell ref="E3:E4"/>
    <mergeCell ref="F3:G4"/>
    <mergeCell ref="D5:E6"/>
    <mergeCell ref="F5:G6"/>
    <mergeCell ref="B5:B7"/>
    <mergeCell ref="C5:C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4"/>
  <sheetViews>
    <sheetView zoomScalePageLayoutView="0" workbookViewId="0" topLeftCell="B37">
      <pane xSplit="4" topLeftCell="F1" activePane="topRight" state="frozen"/>
      <selection pane="topLeft" activeCell="B1" sqref="B1"/>
      <selection pane="topRight" activeCell="K75" sqref="K75"/>
    </sheetView>
  </sheetViews>
  <sheetFormatPr defaultColWidth="9.00390625" defaultRowHeight="12.75"/>
  <cols>
    <col min="2" max="2" width="7.125" style="0" customWidth="1"/>
    <col min="3" max="3" width="48.875" style="0" customWidth="1"/>
    <col min="4" max="4" width="12.25390625" style="0" hidden="1" customWidth="1"/>
    <col min="5" max="5" width="11.625" style="0" hidden="1" customWidth="1"/>
    <col min="6" max="6" width="11.625" style="0" customWidth="1"/>
    <col min="7" max="7" width="15.125" style="0" customWidth="1"/>
    <col min="8" max="8" width="15.125" style="0" hidden="1" customWidth="1"/>
    <col min="9" max="9" width="19.625" style="0" customWidth="1"/>
    <col min="10" max="10" width="15.625" style="0" customWidth="1"/>
    <col min="11" max="11" width="22.25390625" style="0" customWidth="1"/>
    <col min="12" max="12" width="8.125" style="0" customWidth="1"/>
    <col min="13" max="13" width="11.00390625" style="0" bestFit="1" customWidth="1"/>
    <col min="14" max="14" width="12.125" style="0" bestFit="1" customWidth="1"/>
    <col min="15" max="19" width="9.25390625" style="0" bestFit="1" customWidth="1"/>
    <col min="21" max="21" width="9.25390625" style="0" bestFit="1" customWidth="1"/>
    <col min="24" max="24" width="9.25390625" style="0" bestFit="1" customWidth="1"/>
    <col min="28" max="28" width="10.375" style="0" bestFit="1" customWidth="1"/>
  </cols>
  <sheetData>
    <row r="1" ht="13.5" thickBot="1"/>
    <row r="2" spans="2:9" ht="12.75">
      <c r="B2" s="1754" t="s">
        <v>2286</v>
      </c>
      <c r="C2" s="1755"/>
      <c r="D2" s="1755"/>
      <c r="E2" s="1823"/>
      <c r="F2" s="1034"/>
      <c r="G2" s="1826" t="s">
        <v>1352</v>
      </c>
      <c r="H2" s="160"/>
      <c r="I2" s="160"/>
    </row>
    <row r="3" spans="2:9" ht="29.25" customHeight="1" thickBot="1">
      <c r="B3" s="1756"/>
      <c r="C3" s="1757"/>
      <c r="D3" s="1757"/>
      <c r="E3" s="1825"/>
      <c r="F3" s="1035"/>
      <c r="G3" s="1872"/>
      <c r="H3" s="1008"/>
      <c r="I3" s="1008"/>
    </row>
    <row r="4" spans="2:12" ht="25.5" customHeight="1">
      <c r="B4" s="1994" t="s">
        <v>1381</v>
      </c>
      <c r="C4" s="1969" t="s">
        <v>2446</v>
      </c>
      <c r="D4" s="1864" t="s">
        <v>2291</v>
      </c>
      <c r="E4" s="1864" t="s">
        <v>541</v>
      </c>
      <c r="F4" s="1876">
        <v>2010</v>
      </c>
      <c r="G4" s="1985" t="s">
        <v>1197</v>
      </c>
      <c r="H4" s="1985" t="s">
        <v>1198</v>
      </c>
      <c r="I4" s="1987" t="s">
        <v>1451</v>
      </c>
      <c r="J4" s="1982"/>
      <c r="L4" s="124"/>
    </row>
    <row r="5" spans="2:12" ht="21.75" customHeight="1" thickBot="1">
      <c r="B5" s="1881"/>
      <c r="C5" s="1996"/>
      <c r="D5" s="1991"/>
      <c r="E5" s="1991"/>
      <c r="F5" s="1944"/>
      <c r="G5" s="1986"/>
      <c r="H5" s="1986"/>
      <c r="I5" s="1988"/>
      <c r="J5" s="1982"/>
      <c r="L5" s="124"/>
    </row>
    <row r="6" spans="2:12" ht="13.5" thickBot="1">
      <c r="B6" s="1995"/>
      <c r="C6" s="1997"/>
      <c r="D6" s="366" t="s">
        <v>277</v>
      </c>
      <c r="E6" s="994"/>
      <c r="F6" s="1030"/>
      <c r="G6" s="1013" t="s">
        <v>277</v>
      </c>
      <c r="H6" s="1013"/>
      <c r="I6" s="1013"/>
      <c r="J6" s="145"/>
      <c r="L6" s="124"/>
    </row>
    <row r="7" spans="2:12" ht="13.5" thickBot="1">
      <c r="B7" s="136">
        <v>1</v>
      </c>
      <c r="C7" s="429">
        <v>2</v>
      </c>
      <c r="D7" s="306">
        <v>3</v>
      </c>
      <c r="E7" s="136"/>
      <c r="F7" s="429"/>
      <c r="G7" s="549">
        <v>5</v>
      </c>
      <c r="H7" s="549"/>
      <c r="I7" s="549"/>
      <c r="J7" s="145"/>
      <c r="L7" s="124"/>
    </row>
    <row r="8" spans="2:12" ht="13.5" customHeight="1">
      <c r="B8" s="1998" t="s">
        <v>292</v>
      </c>
      <c r="C8" s="612" t="s">
        <v>1380</v>
      </c>
      <c r="D8" s="817"/>
      <c r="E8" s="995"/>
      <c r="F8" s="1048"/>
      <c r="G8" s="1014"/>
      <c r="H8" s="1014"/>
      <c r="I8" s="1014"/>
      <c r="J8" s="1024"/>
      <c r="K8" s="150"/>
      <c r="L8" s="813"/>
    </row>
    <row r="9" spans="2:12" ht="12.75">
      <c r="B9" s="1990"/>
      <c r="C9" s="427" t="s">
        <v>1353</v>
      </c>
      <c r="D9" s="818"/>
      <c r="E9" s="427"/>
      <c r="F9" s="1049"/>
      <c r="G9" s="1015"/>
      <c r="H9" s="1015"/>
      <c r="I9" s="1015"/>
      <c r="J9" s="1025"/>
      <c r="K9" s="150"/>
      <c r="L9" s="813"/>
    </row>
    <row r="10" spans="2:12" ht="12.75">
      <c r="B10" s="367"/>
      <c r="C10" s="427" t="s">
        <v>1362</v>
      </c>
      <c r="D10" s="818"/>
      <c r="E10" s="427"/>
      <c r="F10" s="1049"/>
      <c r="G10" s="500"/>
      <c r="H10" s="500"/>
      <c r="I10" s="500"/>
      <c r="J10" s="1024"/>
      <c r="K10" s="150"/>
      <c r="L10" s="813"/>
    </row>
    <row r="11" spans="2:12" ht="12.75">
      <c r="B11" s="367"/>
      <c r="C11" s="427" t="s">
        <v>1363</v>
      </c>
      <c r="D11" s="818"/>
      <c r="E11" s="427"/>
      <c r="F11" s="1049"/>
      <c r="G11" s="500"/>
      <c r="H11" s="500"/>
      <c r="I11" s="500"/>
      <c r="J11" s="1024"/>
      <c r="K11" s="150"/>
      <c r="L11" s="813"/>
    </row>
    <row r="12" spans="2:13" ht="12.75">
      <c r="B12" s="367"/>
      <c r="C12" s="427" t="s">
        <v>1364</v>
      </c>
      <c r="D12" s="818"/>
      <c r="E12" s="427"/>
      <c r="F12" s="1049"/>
      <c r="G12" s="500"/>
      <c r="H12" s="500"/>
      <c r="I12" s="500"/>
      <c r="J12" s="1024"/>
      <c r="K12" s="1021"/>
      <c r="L12" s="1022"/>
      <c r="M12" s="15"/>
    </row>
    <row r="13" spans="2:13" ht="12.75">
      <c r="B13" s="367"/>
      <c r="C13" s="427" t="s">
        <v>1365</v>
      </c>
      <c r="D13" s="818"/>
      <c r="E13" s="427"/>
      <c r="F13" s="1049"/>
      <c r="G13" s="1016"/>
      <c r="H13" s="1016"/>
      <c r="I13" s="1016"/>
      <c r="J13" s="1026"/>
      <c r="K13" s="1021"/>
      <c r="L13" s="1022"/>
      <c r="M13" s="15"/>
    </row>
    <row r="14" spans="2:13" ht="12.75" customHeight="1">
      <c r="B14" s="1990" t="s">
        <v>293</v>
      </c>
      <c r="C14" s="427" t="s">
        <v>2485</v>
      </c>
      <c r="D14" s="818"/>
      <c r="E14" s="427"/>
      <c r="F14" s="1049"/>
      <c r="G14" s="500"/>
      <c r="H14" s="500"/>
      <c r="I14" s="500"/>
      <c r="J14" s="1024"/>
      <c r="K14" s="143"/>
      <c r="L14" s="814"/>
      <c r="M14" s="15"/>
    </row>
    <row r="15" spans="2:13" ht="12.75">
      <c r="B15" s="1990"/>
      <c r="C15" s="427" t="s">
        <v>1361</v>
      </c>
      <c r="D15" s="818"/>
      <c r="E15" s="427"/>
      <c r="F15" s="1049"/>
      <c r="G15" s="500"/>
      <c r="H15" s="500"/>
      <c r="I15" s="500"/>
      <c r="J15" s="1027"/>
      <c r="K15" s="825"/>
      <c r="L15" s="814"/>
      <c r="M15" s="15"/>
    </row>
    <row r="16" spans="2:13" ht="12.75">
      <c r="B16" s="1990"/>
      <c r="C16" s="427" t="s">
        <v>1353</v>
      </c>
      <c r="D16" s="818"/>
      <c r="E16" s="427"/>
      <c r="F16" s="1049"/>
      <c r="G16" s="500"/>
      <c r="H16" s="500"/>
      <c r="I16" s="500"/>
      <c r="J16" s="1027"/>
      <c r="K16" s="15"/>
      <c r="L16" s="142"/>
      <c r="M16" s="15"/>
    </row>
    <row r="17" spans="2:13" ht="12.75">
      <c r="B17" s="367" t="s">
        <v>1354</v>
      </c>
      <c r="C17" s="427" t="s">
        <v>1366</v>
      </c>
      <c r="D17" s="818">
        <v>15.1</v>
      </c>
      <c r="E17" s="1009">
        <f>D17</f>
        <v>15.1</v>
      </c>
      <c r="F17" s="1050">
        <v>25.22</v>
      </c>
      <c r="G17" s="1018">
        <v>15.1</v>
      </c>
      <c r="H17" s="1017">
        <f>F17*108.7%</f>
        <v>27.414139999999996</v>
      </c>
      <c r="I17" s="1017">
        <f>F17*1.079</f>
        <v>27.212379999999996</v>
      </c>
      <c r="J17" s="1024" t="e">
        <f>I17/'П1.15'!I18</f>
        <v>#REF!</v>
      </c>
      <c r="K17" s="825"/>
      <c r="L17" s="814"/>
      <c r="M17" s="15"/>
    </row>
    <row r="18" spans="2:13" ht="12.75">
      <c r="B18" s="367" t="s">
        <v>1355</v>
      </c>
      <c r="C18" s="427" t="s">
        <v>1367</v>
      </c>
      <c r="D18" s="818"/>
      <c r="E18" s="427"/>
      <c r="F18" s="1049"/>
      <c r="G18" s="1018"/>
      <c r="H18" s="1018"/>
      <c r="I18" s="1018"/>
      <c r="J18" s="1024"/>
      <c r="K18" s="15"/>
      <c r="L18" s="142"/>
      <c r="M18" s="15"/>
    </row>
    <row r="19" spans="2:13" ht="12.75">
      <c r="B19" s="367" t="s">
        <v>1356</v>
      </c>
      <c r="C19" s="427" t="s">
        <v>1357</v>
      </c>
      <c r="D19" s="818">
        <v>11.991841121492534</v>
      </c>
      <c r="E19" s="1010">
        <f>D19</f>
        <v>11.991841121492534</v>
      </c>
      <c r="F19" s="1051">
        <v>11.99</v>
      </c>
      <c r="G19" s="1017">
        <v>81.1</v>
      </c>
      <c r="H19" s="1017">
        <f>F19*107.9%</f>
        <v>12.93721</v>
      </c>
      <c r="I19" s="1017">
        <f>11.99*1.079</f>
        <v>12.93721</v>
      </c>
      <c r="J19" s="1024"/>
      <c r="K19" s="143"/>
      <c r="L19" s="143"/>
      <c r="M19" s="143"/>
    </row>
    <row r="20" spans="2:13" ht="12.75" customHeight="1">
      <c r="B20" s="367"/>
      <c r="C20" s="427" t="s">
        <v>194</v>
      </c>
      <c r="D20" s="818">
        <v>10.581036283669883</v>
      </c>
      <c r="E20" s="427"/>
      <c r="F20" s="500">
        <v>10.58</v>
      </c>
      <c r="G20" s="1018">
        <v>50.7</v>
      </c>
      <c r="H20" s="1017">
        <f>F20*107.9%</f>
        <v>11.41582</v>
      </c>
      <c r="I20" s="1017">
        <f>F20*1.079</f>
        <v>11.41582</v>
      </c>
      <c r="J20" s="1024"/>
      <c r="K20" s="144"/>
      <c r="L20" s="142"/>
      <c r="M20" s="15"/>
    </row>
    <row r="21" spans="2:13" ht="12.75">
      <c r="B21" s="367"/>
      <c r="C21" s="427" t="s">
        <v>1368</v>
      </c>
      <c r="D21" s="818">
        <v>1.4108048378226514</v>
      </c>
      <c r="E21" s="427"/>
      <c r="F21" s="500">
        <v>1.41</v>
      </c>
      <c r="G21" s="1017">
        <v>30.4</v>
      </c>
      <c r="H21" s="1017">
        <f>F21*107.9%</f>
        <v>1.5213899999999998</v>
      </c>
      <c r="I21" s="1017">
        <f>F21*1.079</f>
        <v>1.5213899999999998</v>
      </c>
      <c r="J21" s="1024"/>
      <c r="K21" s="15"/>
      <c r="L21" s="142"/>
      <c r="M21" s="15"/>
    </row>
    <row r="22" spans="2:13" ht="12.75">
      <c r="B22" s="367"/>
      <c r="C22" s="427" t="s">
        <v>193</v>
      </c>
      <c r="D22" s="818"/>
      <c r="E22" s="427"/>
      <c r="F22" s="1049"/>
      <c r="G22" s="1018"/>
      <c r="H22" s="1018"/>
      <c r="I22" s="1018"/>
      <c r="J22" s="1027"/>
      <c r="K22" s="15"/>
      <c r="L22" s="142"/>
      <c r="M22" s="15"/>
    </row>
    <row r="23" spans="2:13" ht="12.75">
      <c r="B23" s="1990" t="s">
        <v>1358</v>
      </c>
      <c r="C23" s="427" t="s">
        <v>1369</v>
      </c>
      <c r="D23" s="2000">
        <v>19.86842105263158</v>
      </c>
      <c r="E23" s="1992">
        <f>D23</f>
        <v>19.86842105263158</v>
      </c>
      <c r="F23" s="1992">
        <v>31.53</v>
      </c>
      <c r="G23" s="2012">
        <v>19.87</v>
      </c>
      <c r="H23" s="1981">
        <f>(H8+H14+H17+H18)/0.8</f>
        <v>34.26767499999999</v>
      </c>
      <c r="I23" s="1981">
        <f>(I8+I14+I17+I18)/0.8</f>
        <v>34.015474999999995</v>
      </c>
      <c r="J23" s="1024"/>
      <c r="K23" s="15"/>
      <c r="L23" s="814"/>
      <c r="M23" s="15"/>
    </row>
    <row r="24" spans="2:13" ht="12.75">
      <c r="B24" s="1990"/>
      <c r="C24" s="427" t="s">
        <v>1370</v>
      </c>
      <c r="D24" s="2000"/>
      <c r="E24" s="1993"/>
      <c r="F24" s="2001"/>
      <c r="G24" s="2012"/>
      <c r="H24" s="1981"/>
      <c r="I24" s="1981"/>
      <c r="J24" s="1024"/>
      <c r="K24" s="15"/>
      <c r="L24" s="142"/>
      <c r="M24" s="15"/>
    </row>
    <row r="25" spans="2:13" ht="12.75">
      <c r="B25" s="1990" t="s">
        <v>1359</v>
      </c>
      <c r="C25" s="613" t="s">
        <v>1371</v>
      </c>
      <c r="D25" s="2000">
        <v>9.925661052631579</v>
      </c>
      <c r="E25" s="1992">
        <f>D25</f>
        <v>9.925661052631579</v>
      </c>
      <c r="F25" s="1992">
        <v>11.46</v>
      </c>
      <c r="G25" s="2012">
        <v>19.3</v>
      </c>
      <c r="H25" s="1992">
        <f>H28+H33</f>
        <v>12.013534999999997</v>
      </c>
      <c r="I25" s="1981">
        <f>I28+I33+I38+I40</f>
        <v>11.960334999999999</v>
      </c>
      <c r="J25" s="1989"/>
      <c r="K25" s="1980"/>
      <c r="L25" s="143"/>
      <c r="M25" s="143"/>
    </row>
    <row r="26" spans="2:13" ht="12.75">
      <c r="B26" s="1990"/>
      <c r="C26" s="613" t="s">
        <v>1372</v>
      </c>
      <c r="D26" s="2000"/>
      <c r="E26" s="1993"/>
      <c r="F26" s="2001"/>
      <c r="G26" s="2012"/>
      <c r="H26" s="2001"/>
      <c r="I26" s="1981"/>
      <c r="J26" s="1989"/>
      <c r="K26" s="1980"/>
      <c r="L26" s="143"/>
      <c r="M26" s="143"/>
    </row>
    <row r="27" spans="2:13" ht="12.75">
      <c r="B27" s="367"/>
      <c r="C27" s="427" t="s">
        <v>1361</v>
      </c>
      <c r="D27" s="432"/>
      <c r="E27" s="155"/>
      <c r="F27" s="1012"/>
      <c r="G27" s="1018"/>
      <c r="H27" s="1018"/>
      <c r="I27" s="155"/>
      <c r="J27" s="146"/>
      <c r="K27" s="15"/>
      <c r="L27" s="142"/>
      <c r="M27" s="15"/>
    </row>
    <row r="28" spans="2:13" ht="12.75">
      <c r="B28" s="367"/>
      <c r="C28" s="427" t="s">
        <v>1373</v>
      </c>
      <c r="D28" s="432">
        <v>4.768421052631579</v>
      </c>
      <c r="E28" s="500">
        <f>D28</f>
        <v>4.768421052631579</v>
      </c>
      <c r="F28" s="1011">
        <v>6.31</v>
      </c>
      <c r="G28" s="1017">
        <v>6.27</v>
      </c>
      <c r="H28" s="1017">
        <f>H23*0.2</f>
        <v>6.853534999999998</v>
      </c>
      <c r="I28" s="500">
        <f>I23*0.2</f>
        <v>6.803094999999999</v>
      </c>
      <c r="J28" s="1024"/>
      <c r="K28" s="611"/>
      <c r="L28" s="814"/>
      <c r="M28" s="611"/>
    </row>
    <row r="29" spans="2:13" ht="12.75">
      <c r="B29" s="367"/>
      <c r="C29" s="427" t="s">
        <v>1362</v>
      </c>
      <c r="D29" s="432"/>
      <c r="E29" s="155"/>
      <c r="F29" s="1012"/>
      <c r="G29" s="1018"/>
      <c r="H29" s="1018"/>
      <c r="I29" s="500"/>
      <c r="J29" s="144"/>
      <c r="K29" s="15"/>
      <c r="L29" s="142"/>
      <c r="M29" s="611"/>
    </row>
    <row r="30" spans="2:13" ht="12.75">
      <c r="B30" s="367"/>
      <c r="C30" s="427" t="s">
        <v>1363</v>
      </c>
      <c r="D30" s="432"/>
      <c r="E30" s="155"/>
      <c r="F30" s="1012"/>
      <c r="G30" s="1018"/>
      <c r="H30" s="1018"/>
      <c r="I30" s="500"/>
      <c r="J30" s="144"/>
      <c r="K30" s="15"/>
      <c r="L30" s="142"/>
      <c r="M30" s="15"/>
    </row>
    <row r="31" spans="2:13" ht="12.75">
      <c r="B31" s="367"/>
      <c r="C31" s="427" t="s">
        <v>1364</v>
      </c>
      <c r="D31" s="432">
        <v>4.547391334625779</v>
      </c>
      <c r="E31" s="155"/>
      <c r="F31" s="1012">
        <v>6.02</v>
      </c>
      <c r="G31" s="1018"/>
      <c r="H31" s="1018"/>
      <c r="I31" s="500"/>
      <c r="J31" s="144"/>
      <c r="K31" s="15"/>
      <c r="L31" s="142"/>
      <c r="M31" s="15"/>
    </row>
    <row r="32" spans="2:13" ht="12.75">
      <c r="B32" s="367"/>
      <c r="C32" s="427" t="s">
        <v>1365</v>
      </c>
      <c r="D32" s="432">
        <v>0.2210297180058003</v>
      </c>
      <c r="E32" s="155"/>
      <c r="F32" s="1012">
        <v>0.29</v>
      </c>
      <c r="G32" s="1018"/>
      <c r="H32" s="1018"/>
      <c r="I32" s="500"/>
      <c r="J32" s="144"/>
      <c r="K32" s="15"/>
      <c r="L32" s="142"/>
      <c r="M32" s="15"/>
    </row>
    <row r="33" spans="2:13" ht="12.75">
      <c r="B33" s="367"/>
      <c r="C33" s="427" t="s">
        <v>1374</v>
      </c>
      <c r="D33" s="636">
        <f>2.2%*234.42</f>
        <v>5.15724</v>
      </c>
      <c r="E33" s="500">
        <f>D33</f>
        <v>5.15724</v>
      </c>
      <c r="F33" s="1011">
        <v>5.16</v>
      </c>
      <c r="G33" s="1017">
        <v>13.03</v>
      </c>
      <c r="H33" s="1017">
        <f>F33</f>
        <v>5.16</v>
      </c>
      <c r="I33" s="500">
        <f>2.2%*234.42</f>
        <v>5.15724</v>
      </c>
      <c r="J33" s="144"/>
      <c r="K33" s="611"/>
      <c r="L33" s="814"/>
      <c r="M33" s="15"/>
    </row>
    <row r="34" spans="1:30" ht="12.75">
      <c r="A34">
        <f>20/22.38</f>
        <v>0.8936550491510278</v>
      </c>
      <c r="B34" s="367"/>
      <c r="C34" s="427" t="s">
        <v>1362</v>
      </c>
      <c r="D34" s="432"/>
      <c r="E34" s="155"/>
      <c r="F34" s="1012"/>
      <c r="G34" s="1017"/>
      <c r="H34" s="1017"/>
      <c r="I34" s="500"/>
      <c r="J34" s="144"/>
      <c r="K34" s="15"/>
      <c r="L34" s="142"/>
      <c r="M34" s="611"/>
      <c r="N34" s="142"/>
      <c r="O34" s="1983"/>
      <c r="P34" s="1983"/>
      <c r="Q34" s="1983"/>
      <c r="R34" s="1983"/>
      <c r="S34" s="1983"/>
      <c r="T34" s="1983"/>
      <c r="U34" s="1983"/>
      <c r="V34" s="1983"/>
      <c r="W34" s="1983"/>
      <c r="X34" s="1983"/>
      <c r="Y34" s="142"/>
      <c r="Z34" s="142"/>
      <c r="AA34" s="142"/>
      <c r="AB34" s="142"/>
      <c r="AC34" s="142"/>
      <c r="AD34" s="142"/>
    </row>
    <row r="35" spans="2:30" ht="12.75">
      <c r="B35" s="367"/>
      <c r="C35" s="427" t="s">
        <v>195</v>
      </c>
      <c r="D35" s="432"/>
      <c r="E35" s="155"/>
      <c r="F35" s="1012"/>
      <c r="G35" s="1017"/>
      <c r="H35" s="1017"/>
      <c r="I35" s="500"/>
      <c r="J35" s="144"/>
      <c r="K35" s="15"/>
      <c r="L35" s="142"/>
      <c r="M35" s="825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</row>
    <row r="36" spans="2:30" ht="12.75">
      <c r="B36" s="367"/>
      <c r="C36" s="427" t="s">
        <v>196</v>
      </c>
      <c r="D36" s="432">
        <v>4.92</v>
      </c>
      <c r="E36" s="155"/>
      <c r="F36" s="1012">
        <v>4.92</v>
      </c>
      <c r="G36" s="1017"/>
      <c r="H36" s="1017"/>
      <c r="I36" s="155">
        <v>4.92</v>
      </c>
      <c r="J36" s="144"/>
      <c r="K36" s="15"/>
      <c r="L36" s="142"/>
      <c r="M36" s="15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</row>
    <row r="37" spans="2:30" ht="12.75">
      <c r="B37" s="367"/>
      <c r="C37" s="427" t="s">
        <v>197</v>
      </c>
      <c r="D37" s="432">
        <v>0.24</v>
      </c>
      <c r="E37" s="155"/>
      <c r="F37" s="1012">
        <v>0.24</v>
      </c>
      <c r="G37" s="1017"/>
      <c r="H37" s="1017"/>
      <c r="I37" s="155">
        <v>0.24</v>
      </c>
      <c r="J37" s="144"/>
      <c r="K37" s="15"/>
      <c r="L37" s="142"/>
      <c r="M37" s="15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</row>
    <row r="38" spans="2:30" ht="12.75">
      <c r="B38" s="1990"/>
      <c r="C38" s="427" t="s">
        <v>1375</v>
      </c>
      <c r="D38" s="2000"/>
      <c r="E38" s="2003"/>
      <c r="F38" s="1053"/>
      <c r="G38" s="2008"/>
      <c r="H38" s="2003"/>
      <c r="I38" s="1087"/>
      <c r="J38" s="146"/>
      <c r="K38" s="1984"/>
      <c r="L38" s="124"/>
      <c r="N38" s="142"/>
      <c r="O38" s="1983"/>
      <c r="P38" s="1983"/>
      <c r="Q38" s="1983"/>
      <c r="R38" s="1983"/>
      <c r="S38" s="1983"/>
      <c r="T38" s="1983"/>
      <c r="U38" s="1983"/>
      <c r="V38" s="1983"/>
      <c r="W38" s="1983"/>
      <c r="X38" s="1983"/>
      <c r="Y38" s="1983"/>
      <c r="Z38" s="142"/>
      <c r="AA38" s="142"/>
      <c r="AB38" s="142"/>
      <c r="AC38" s="142"/>
      <c r="AD38" s="142"/>
    </row>
    <row r="39" spans="2:30" ht="12.75">
      <c r="B39" s="1990"/>
      <c r="C39" s="427" t="s">
        <v>1376</v>
      </c>
      <c r="D39" s="2000"/>
      <c r="E39" s="1993"/>
      <c r="F39" s="1052"/>
      <c r="G39" s="2008"/>
      <c r="H39" s="1993"/>
      <c r="I39" s="1086"/>
      <c r="J39" s="146"/>
      <c r="K39" s="1984"/>
      <c r="L39" s="124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</row>
    <row r="40" spans="2:30" ht="12.75">
      <c r="B40" s="1990"/>
      <c r="C40" s="629" t="s">
        <v>1377</v>
      </c>
      <c r="D40" s="2002"/>
      <c r="E40" s="2004"/>
      <c r="F40" s="1054"/>
      <c r="G40" s="2009"/>
      <c r="H40" s="2003"/>
      <c r="I40" s="1087"/>
      <c r="J40" s="146"/>
      <c r="K40" s="1984"/>
      <c r="L40" s="124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</row>
    <row r="41" spans="2:30" ht="12.75">
      <c r="B41" s="1990"/>
      <c r="C41" s="613" t="s">
        <v>1378</v>
      </c>
      <c r="D41" s="2002"/>
      <c r="E41" s="2005"/>
      <c r="F41" s="1055"/>
      <c r="G41" s="2010"/>
      <c r="H41" s="2007"/>
      <c r="I41" s="1088"/>
      <c r="J41" s="146"/>
      <c r="K41" s="1984"/>
      <c r="L41" s="124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</row>
    <row r="42" spans="2:30" ht="12.75">
      <c r="B42" s="1990"/>
      <c r="C42" s="613" t="s">
        <v>198</v>
      </c>
      <c r="D42" s="2002"/>
      <c r="E42" s="2006"/>
      <c r="F42" s="1056"/>
      <c r="G42" s="2011"/>
      <c r="H42" s="1993"/>
      <c r="I42" s="1086"/>
      <c r="J42" s="146"/>
      <c r="K42" s="1984"/>
      <c r="L42" s="124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554"/>
      <c r="AD42" s="142"/>
    </row>
    <row r="43" spans="2:30" ht="15.75">
      <c r="B43" s="1999" t="s">
        <v>1360</v>
      </c>
      <c r="C43" s="588" t="s">
        <v>2487</v>
      </c>
      <c r="D43" s="637">
        <f>D8+D14+D17+D19+D25</f>
        <v>37.01750217412412</v>
      </c>
      <c r="E43" s="588">
        <v>37.02</v>
      </c>
      <c r="F43" s="1019">
        <f>F8+F14+F17+F19+F25</f>
        <v>48.67</v>
      </c>
      <c r="G43" s="1059">
        <v>120.27</v>
      </c>
      <c r="H43" s="1019">
        <f>H8+H14+H17+H19+H25</f>
        <v>52.364884999999994</v>
      </c>
      <c r="I43" s="1019">
        <f>I8+I14+I17+I19+I25</f>
        <v>52.109925</v>
      </c>
      <c r="J43" s="1028"/>
      <c r="K43" s="142"/>
      <c r="L43" s="816"/>
      <c r="M43" s="578"/>
      <c r="N43" s="815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5.75">
      <c r="B44" s="1999"/>
      <c r="C44" s="588" t="s">
        <v>2486</v>
      </c>
      <c r="D44" s="819"/>
      <c r="E44" s="588"/>
      <c r="F44" s="1057"/>
      <c r="G44" s="1020"/>
      <c r="H44" s="1020"/>
      <c r="I44" s="1020"/>
      <c r="J44" s="816"/>
      <c r="L44" s="124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367"/>
      <c r="C45" s="427" t="s">
        <v>1361</v>
      </c>
      <c r="D45" s="818"/>
      <c r="E45" s="427"/>
      <c r="F45" s="1049"/>
      <c r="G45" s="155"/>
      <c r="H45" s="155"/>
      <c r="I45" s="155"/>
      <c r="J45" s="146"/>
      <c r="L45" s="124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367"/>
      <c r="C46" s="427" t="s">
        <v>1379</v>
      </c>
      <c r="D46" s="818"/>
      <c r="E46" s="427"/>
      <c r="F46" s="1049"/>
      <c r="G46" s="500"/>
      <c r="H46" s="500"/>
      <c r="I46" s="500"/>
      <c r="J46" s="144"/>
      <c r="L46" s="124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367"/>
      <c r="C47" s="427" t="s">
        <v>1363</v>
      </c>
      <c r="D47" s="818"/>
      <c r="E47" s="427"/>
      <c r="F47" s="1049"/>
      <c r="G47" s="500"/>
      <c r="H47" s="500"/>
      <c r="I47" s="500"/>
      <c r="J47" s="144"/>
      <c r="L47" s="124"/>
      <c r="N47" s="142"/>
      <c r="O47" s="1983"/>
      <c r="P47" s="1983"/>
      <c r="Q47" s="1983"/>
      <c r="R47" s="1983"/>
      <c r="S47" s="1983"/>
      <c r="T47" s="1983"/>
      <c r="U47" s="1983"/>
      <c r="V47" s="1983"/>
      <c r="W47" s="1983"/>
      <c r="X47" s="1983"/>
      <c r="Y47" s="1983"/>
      <c r="Z47" s="142"/>
      <c r="AA47" s="142"/>
      <c r="AB47" s="142"/>
      <c r="AC47" s="142"/>
      <c r="AD47" s="142"/>
    </row>
    <row r="48" spans="2:30" ht="12.75">
      <c r="B48" s="367"/>
      <c r="C48" s="427" t="s">
        <v>1364</v>
      </c>
      <c r="D48" s="818">
        <v>38.41</v>
      </c>
      <c r="E48" s="427"/>
      <c r="F48" s="1049"/>
      <c r="G48" s="500"/>
      <c r="H48" s="500"/>
      <c r="I48" s="500"/>
      <c r="J48" s="144"/>
      <c r="L48" s="124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2:30" ht="13.5" thickBot="1">
      <c r="B49" s="368"/>
      <c r="C49" s="428" t="s">
        <v>1365</v>
      </c>
      <c r="D49" s="820">
        <v>1.87</v>
      </c>
      <c r="E49" s="428"/>
      <c r="F49" s="1058"/>
      <c r="G49" s="172"/>
      <c r="H49" s="172"/>
      <c r="I49" s="172"/>
      <c r="J49" s="144"/>
      <c r="L49" s="124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</row>
    <row r="50" spans="2:30" ht="12.75">
      <c r="B50" s="167"/>
      <c r="C50" s="167"/>
      <c r="D50" s="480"/>
      <c r="E50" s="167"/>
      <c r="F50" s="167"/>
      <c r="G50" s="144"/>
      <c r="H50" s="144"/>
      <c r="I50" s="144"/>
      <c r="J50" s="144"/>
      <c r="L50" s="124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554"/>
      <c r="AD50" s="142"/>
    </row>
    <row r="51" spans="2:30" ht="12.75">
      <c r="B51" s="15"/>
      <c r="C51" s="15"/>
      <c r="D51" s="686">
        <f>SUM(D46:D49)</f>
        <v>40.279999999999994</v>
      </c>
      <c r="E51" s="686"/>
      <c r="F51" s="686"/>
      <c r="G51" s="686">
        <f>SUM(G46:G49)</f>
        <v>0</v>
      </c>
      <c r="H51" s="686"/>
      <c r="I51" s="686"/>
      <c r="J51" s="686"/>
      <c r="L51" s="124"/>
      <c r="N51" s="815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</row>
    <row r="52" spans="2:30" ht="13.5" thickBot="1">
      <c r="B52" s="142"/>
      <c r="C52" s="631" t="s">
        <v>199</v>
      </c>
      <c r="D52" s="15"/>
      <c r="E52" s="15"/>
      <c r="F52" s="15"/>
      <c r="G52" s="142"/>
      <c r="H52" s="142"/>
      <c r="I52" s="142"/>
      <c r="J52" s="142"/>
      <c r="L52" s="124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</row>
    <row r="53" spans="2:30" ht="12.75">
      <c r="B53" s="559"/>
      <c r="C53" s="560" t="s">
        <v>200</v>
      </c>
      <c r="D53" s="566">
        <f>D55+D57+D59+D61</f>
        <v>150.98399999999998</v>
      </c>
      <c r="E53" s="565"/>
      <c r="F53" s="565"/>
      <c r="G53" s="566"/>
      <c r="H53" s="566"/>
      <c r="I53" s="1104">
        <v>249.88</v>
      </c>
      <c r="J53" s="142"/>
      <c r="L53" s="124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</row>
    <row r="54" spans="2:30" ht="12.75">
      <c r="B54" s="561"/>
      <c r="C54" s="562" t="s">
        <v>201</v>
      </c>
      <c r="D54" s="564"/>
      <c r="E54" s="66"/>
      <c r="F54" s="66"/>
      <c r="G54" s="564"/>
      <c r="H54" s="564"/>
      <c r="I54" s="564"/>
      <c r="J54" s="142"/>
      <c r="L54" s="124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</row>
    <row r="55" spans="2:30" ht="12.75">
      <c r="B55" s="561"/>
      <c r="C55" s="562" t="s">
        <v>1560</v>
      </c>
      <c r="D55" s="564">
        <v>0</v>
      </c>
      <c r="E55" s="66"/>
      <c r="F55" s="66"/>
      <c r="G55" s="564"/>
      <c r="H55" s="564"/>
      <c r="I55" s="564"/>
      <c r="J55" s="142"/>
      <c r="L55" s="124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</row>
    <row r="56" spans="2:30" ht="12.75">
      <c r="B56" s="561"/>
      <c r="C56" s="562" t="s">
        <v>1521</v>
      </c>
      <c r="D56" s="624">
        <f>D55/D53</f>
        <v>0</v>
      </c>
      <c r="E56" s="66"/>
      <c r="F56" s="66"/>
      <c r="G56" s="624"/>
      <c r="H56" s="624"/>
      <c r="I56" s="624"/>
      <c r="J56" s="1023"/>
      <c r="L56" s="124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</row>
    <row r="57" spans="2:30" ht="12.75">
      <c r="B57" s="561"/>
      <c r="C57" s="562" t="s">
        <v>1561</v>
      </c>
      <c r="D57" s="564">
        <v>0</v>
      </c>
      <c r="E57" s="66"/>
      <c r="F57" s="66"/>
      <c r="G57" s="564"/>
      <c r="H57" s="564"/>
      <c r="I57" s="564"/>
      <c r="J57" s="142"/>
      <c r="L57" s="124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</row>
    <row r="58" spans="2:30" ht="12.75">
      <c r="B58" s="561"/>
      <c r="C58" s="562" t="s">
        <v>1521</v>
      </c>
      <c r="D58" s="624">
        <f>D57/D53</f>
        <v>0</v>
      </c>
      <c r="E58" s="66"/>
      <c r="F58" s="66"/>
      <c r="G58" s="624"/>
      <c r="H58" s="624"/>
      <c r="I58" s="624"/>
      <c r="J58" s="1023"/>
      <c r="L58" s="124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</row>
    <row r="59" spans="2:12" ht="12.75">
      <c r="B59" s="561"/>
      <c r="C59" s="562" t="s">
        <v>2319</v>
      </c>
      <c r="D59" s="564">
        <v>114.53399999999999</v>
      </c>
      <c r="E59" s="66"/>
      <c r="F59" s="66"/>
      <c r="G59" s="564"/>
      <c r="H59" s="564"/>
      <c r="I59" s="564"/>
      <c r="J59" s="142"/>
      <c r="L59" s="124"/>
    </row>
    <row r="60" spans="2:12" ht="12.75">
      <c r="B60" s="619"/>
      <c r="C60" s="620" t="s">
        <v>1521</v>
      </c>
      <c r="D60" s="625">
        <f>D59/D53</f>
        <v>0.7585836909871245</v>
      </c>
      <c r="E60" s="621"/>
      <c r="F60" s="621"/>
      <c r="G60" s="625"/>
      <c r="H60" s="625"/>
      <c r="I60" s="625"/>
      <c r="J60" s="1023"/>
      <c r="L60" s="124"/>
    </row>
    <row r="61" spans="2:12" ht="12.75">
      <c r="B61" s="619"/>
      <c r="C61" s="562" t="s">
        <v>1563</v>
      </c>
      <c r="D61" s="564">
        <v>36.45</v>
      </c>
      <c r="E61" s="66"/>
      <c r="F61" s="66"/>
      <c r="G61" s="564"/>
      <c r="H61" s="564"/>
      <c r="I61" s="564"/>
      <c r="J61" s="142"/>
      <c r="L61" s="124"/>
    </row>
    <row r="62" spans="2:12" ht="13.5" thickBot="1">
      <c r="B62" s="563"/>
      <c r="C62" s="626" t="s">
        <v>1521</v>
      </c>
      <c r="D62" s="628">
        <f>D61/D53</f>
        <v>0.24141630901287559</v>
      </c>
      <c r="E62" s="627"/>
      <c r="F62" s="627"/>
      <c r="G62" s="628"/>
      <c r="H62" s="628"/>
      <c r="I62" s="628"/>
      <c r="J62" s="1023"/>
      <c r="L62" s="124"/>
    </row>
    <row r="63" ht="12.75">
      <c r="L63" s="124"/>
    </row>
    <row r="64" ht="12.75">
      <c r="L64" s="124"/>
    </row>
    <row r="65" ht="12.75">
      <c r="L65" s="124"/>
    </row>
    <row r="66" ht="12.75">
      <c r="L66" s="124"/>
    </row>
    <row r="67" ht="12.75">
      <c r="L67" s="124"/>
    </row>
    <row r="68" ht="12.75">
      <c r="L68" s="124"/>
    </row>
    <row r="69" ht="12.75">
      <c r="L69" s="124"/>
    </row>
    <row r="70" ht="12.75">
      <c r="L70" s="124"/>
    </row>
    <row r="71" ht="12.75">
      <c r="L71" s="124"/>
    </row>
    <row r="72" ht="12.75">
      <c r="L72" s="124"/>
    </row>
    <row r="73" ht="12.75">
      <c r="L73" s="124"/>
    </row>
    <row r="74" ht="12.75">
      <c r="L74" s="124"/>
    </row>
  </sheetData>
  <sheetProtection/>
  <mergeCells count="45">
    <mergeCell ref="E38:E39"/>
    <mergeCell ref="E40:E42"/>
    <mergeCell ref="H40:H42"/>
    <mergeCell ref="H23:H24"/>
    <mergeCell ref="H25:H26"/>
    <mergeCell ref="H38:H39"/>
    <mergeCell ref="G38:G39"/>
    <mergeCell ref="G40:G42"/>
    <mergeCell ref="G23:G24"/>
    <mergeCell ref="G25:G26"/>
    <mergeCell ref="B43:B44"/>
    <mergeCell ref="B38:B42"/>
    <mergeCell ref="D38:D39"/>
    <mergeCell ref="F23:F24"/>
    <mergeCell ref="B25:B26"/>
    <mergeCell ref="D25:D26"/>
    <mergeCell ref="B23:B24"/>
    <mergeCell ref="F25:F26"/>
    <mergeCell ref="D23:D24"/>
    <mergeCell ref="D40:D42"/>
    <mergeCell ref="E2:E3"/>
    <mergeCell ref="G2:G3"/>
    <mergeCell ref="B2:D3"/>
    <mergeCell ref="B4:B6"/>
    <mergeCell ref="C4:C6"/>
    <mergeCell ref="B8:B9"/>
    <mergeCell ref="D4:D5"/>
    <mergeCell ref="F4:F5"/>
    <mergeCell ref="H4:H5"/>
    <mergeCell ref="I4:I5"/>
    <mergeCell ref="J25:J26"/>
    <mergeCell ref="G4:G5"/>
    <mergeCell ref="I25:I26"/>
    <mergeCell ref="B14:B16"/>
    <mergeCell ref="E4:E5"/>
    <mergeCell ref="E23:E24"/>
    <mergeCell ref="E25:E26"/>
    <mergeCell ref="K25:K26"/>
    <mergeCell ref="I23:I24"/>
    <mergeCell ref="J4:J5"/>
    <mergeCell ref="O47:Y47"/>
    <mergeCell ref="O34:X34"/>
    <mergeCell ref="O38:Y38"/>
    <mergeCell ref="K40:K42"/>
    <mergeCell ref="K38:K39"/>
  </mergeCells>
  <printOptions/>
  <pageMargins left="0.75" right="0.18" top="1" bottom="1" header="0.5" footer="0.5"/>
  <pageSetup fitToHeight="1" fitToWidth="1" horizontalDpi="300" verticalDpi="300" orientation="portrait" paperSize="9" scale="85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63"/>
  <sheetViews>
    <sheetView zoomScale="75" zoomScaleNormal="75" zoomScalePageLayoutView="0" workbookViewId="0" topLeftCell="B1">
      <selection activeCell="M23" sqref="M23"/>
    </sheetView>
  </sheetViews>
  <sheetFormatPr defaultColWidth="9.00390625" defaultRowHeight="12.75"/>
  <cols>
    <col min="1" max="1" width="9.125" style="131" customWidth="1"/>
    <col min="2" max="2" width="7.125" style="131" customWidth="1"/>
    <col min="3" max="3" width="50.00390625" style="131" customWidth="1"/>
    <col min="4" max="4" width="10.625" style="131" customWidth="1"/>
    <col min="5" max="5" width="13.25390625" style="131" customWidth="1"/>
    <col min="6" max="6" width="6.00390625" style="131" customWidth="1"/>
    <col min="7" max="8" width="13.375" style="131" customWidth="1"/>
    <col min="9" max="9" width="17.00390625" style="131" customWidth="1"/>
    <col min="10" max="10" width="6.125" style="131" customWidth="1"/>
    <col min="11" max="11" width="17.00390625" style="131" customWidth="1"/>
    <col min="12" max="12" width="5.375" style="131" customWidth="1"/>
    <col min="13" max="13" width="9.25390625" style="131" customWidth="1"/>
    <col min="14" max="14" width="12.125" style="131" customWidth="1"/>
    <col min="15" max="15" width="10.625" style="131" customWidth="1"/>
    <col min="16" max="16" width="10.375" style="131" bestFit="1" customWidth="1"/>
    <col min="17" max="17" width="11.00390625" style="131" bestFit="1" customWidth="1"/>
    <col min="18" max="18" width="11.875" style="131" customWidth="1"/>
    <col min="19" max="16384" width="9.125" style="131" customWidth="1"/>
  </cols>
  <sheetData>
    <row r="1" ht="12.75">
      <c r="A1" s="130"/>
    </row>
    <row r="2" ht="12.75"/>
    <row r="3" spans="1:12" ht="15.75" thickBot="1">
      <c r="A3" s="170"/>
      <c r="B3" s="258"/>
      <c r="C3" s="258"/>
      <c r="D3" s="258"/>
      <c r="E3" s="258"/>
      <c r="F3" s="258"/>
      <c r="G3" s="258"/>
      <c r="H3" s="258"/>
      <c r="I3" s="258"/>
      <c r="J3" s="258"/>
      <c r="K3" s="259"/>
      <c r="L3" s="259"/>
    </row>
    <row r="4" spans="1:11" ht="12.75" customHeight="1">
      <c r="A4" s="170"/>
      <c r="B4" s="2039" t="s">
        <v>511</v>
      </c>
      <c r="C4" s="2040"/>
      <c r="D4" s="2040"/>
      <c r="E4" s="2040"/>
      <c r="F4" s="2043" t="s">
        <v>1542</v>
      </c>
      <c r="G4" s="2044"/>
      <c r="H4" s="2044"/>
      <c r="I4" s="2044"/>
      <c r="J4" s="2045"/>
      <c r="K4" s="672"/>
    </row>
    <row r="5" spans="1:17" ht="13.5" customHeight="1" thickBot="1">
      <c r="A5" s="170"/>
      <c r="B5" s="2041"/>
      <c r="C5" s="2042"/>
      <c r="D5" s="2042"/>
      <c r="E5" s="2042"/>
      <c r="F5" s="2046"/>
      <c r="G5" s="2047"/>
      <c r="H5" s="2047"/>
      <c r="I5" s="2047"/>
      <c r="J5" s="2048"/>
      <c r="K5" s="672"/>
      <c r="Q5" s="156"/>
    </row>
    <row r="6" spans="1:12" ht="45" customHeight="1" thickBot="1">
      <c r="A6" s="170"/>
      <c r="B6" s="2020" t="s">
        <v>223</v>
      </c>
      <c r="C6" s="2024"/>
      <c r="D6" s="2033" t="s">
        <v>2504</v>
      </c>
      <c r="E6" s="2022" t="s">
        <v>1257</v>
      </c>
      <c r="F6" s="2023"/>
      <c r="G6" s="973" t="s">
        <v>541</v>
      </c>
      <c r="H6" s="1070">
        <v>2010</v>
      </c>
      <c r="I6" s="2026" t="s">
        <v>1199</v>
      </c>
      <c r="J6" s="2027"/>
      <c r="K6" s="2031" t="s">
        <v>1200</v>
      </c>
      <c r="L6" s="2032"/>
    </row>
    <row r="7" spans="1:15" ht="25.5" customHeight="1" thickBot="1">
      <c r="A7" s="170"/>
      <c r="B7" s="2021"/>
      <c r="C7" s="2025"/>
      <c r="D7" s="2034"/>
      <c r="E7" s="458" t="s">
        <v>277</v>
      </c>
      <c r="F7" s="459" t="s">
        <v>1543</v>
      </c>
      <c r="G7" s="1032" t="s">
        <v>277</v>
      </c>
      <c r="H7" s="1032" t="s">
        <v>277</v>
      </c>
      <c r="I7" s="460" t="s">
        <v>277</v>
      </c>
      <c r="J7" s="461" t="s">
        <v>1543</v>
      </c>
      <c r="K7" s="460" t="s">
        <v>277</v>
      </c>
      <c r="L7" s="461" t="s">
        <v>1543</v>
      </c>
      <c r="O7" s="667"/>
    </row>
    <row r="8" spans="1:18" ht="19.5" customHeight="1" thickBot="1">
      <c r="A8" s="170"/>
      <c r="B8" s="572">
        <v>1</v>
      </c>
      <c r="C8" s="573">
        <v>2</v>
      </c>
      <c r="D8" s="574">
        <v>3</v>
      </c>
      <c r="E8" s="572">
        <v>4</v>
      </c>
      <c r="F8" s="575">
        <v>5</v>
      </c>
      <c r="G8" s="974"/>
      <c r="H8" s="1071"/>
      <c r="I8" s="1060">
        <v>6</v>
      </c>
      <c r="J8" s="574">
        <v>7</v>
      </c>
      <c r="K8" s="576">
        <v>8</v>
      </c>
      <c r="L8" s="577">
        <v>9</v>
      </c>
      <c r="O8" s="668"/>
      <c r="Q8" s="157"/>
      <c r="R8" s="156"/>
    </row>
    <row r="9" spans="1:16" ht="25.5">
      <c r="A9" s="170"/>
      <c r="B9" s="570" t="s">
        <v>292</v>
      </c>
      <c r="C9" s="571" t="s">
        <v>487</v>
      </c>
      <c r="D9" s="2017" t="s">
        <v>1527</v>
      </c>
      <c r="E9" s="784">
        <f>' П1.18.2'!D37</f>
        <v>723.2202400000001</v>
      </c>
      <c r="F9" s="851"/>
      <c r="G9" s="990">
        <f>'П1.15'!E39</f>
        <v>723.22</v>
      </c>
      <c r="H9" s="1072">
        <v>963.42</v>
      </c>
      <c r="I9" s="1061">
        <v>1278.5</v>
      </c>
      <c r="J9" s="642"/>
      <c r="K9" s="784" t="e">
        <f>'П1.15'!I39</f>
        <v>#REF!</v>
      </c>
      <c r="L9" s="664"/>
      <c r="O9" s="156"/>
      <c r="P9" s="474"/>
    </row>
    <row r="10" spans="1:16" ht="13.5">
      <c r="A10" s="170"/>
      <c r="B10" s="375" t="s">
        <v>125</v>
      </c>
      <c r="C10" s="377" t="s">
        <v>1560</v>
      </c>
      <c r="D10" s="2018"/>
      <c r="E10" s="378"/>
      <c r="F10" s="640"/>
      <c r="G10" s="975"/>
      <c r="H10" s="1073"/>
      <c r="I10" s="643"/>
      <c r="J10" s="643"/>
      <c r="K10" s="378"/>
      <c r="L10" s="644"/>
      <c r="M10" s="474"/>
      <c r="O10" s="668"/>
      <c r="P10" s="474"/>
    </row>
    <row r="11" spans="1:16" ht="13.5">
      <c r="A11" s="170"/>
      <c r="B11" s="375" t="s">
        <v>128</v>
      </c>
      <c r="C11" s="377" t="s">
        <v>1517</v>
      </c>
      <c r="D11" s="2018"/>
      <c r="E11" s="378">
        <f>E12+E13</f>
        <v>0</v>
      </c>
      <c r="F11" s="640"/>
      <c r="G11" s="975"/>
      <c r="H11" s="1073"/>
      <c r="I11" s="643">
        <f>I12+I13</f>
        <v>1059.65</v>
      </c>
      <c r="J11" s="643"/>
      <c r="K11" s="378"/>
      <c r="L11" s="644"/>
      <c r="M11" s="474"/>
      <c r="O11" s="668"/>
      <c r="P11" s="474"/>
    </row>
    <row r="12" spans="1:16" ht="12.75">
      <c r="A12" s="170"/>
      <c r="B12" s="379"/>
      <c r="C12" s="377" t="s">
        <v>1544</v>
      </c>
      <c r="D12" s="2018"/>
      <c r="E12" s="378"/>
      <c r="F12" s="640"/>
      <c r="G12" s="975"/>
      <c r="H12" s="1073"/>
      <c r="I12" s="643"/>
      <c r="J12" s="643"/>
      <c r="K12" s="378"/>
      <c r="L12" s="644"/>
      <c r="M12" s="474"/>
      <c r="O12" s="668"/>
      <c r="P12" s="474"/>
    </row>
    <row r="13" spans="1:16" ht="12.75">
      <c r="A13" s="170"/>
      <c r="B13" s="379"/>
      <c r="C13" s="377" t="s">
        <v>1562</v>
      </c>
      <c r="D13" s="2018"/>
      <c r="E13" s="378">
        <f>' П1.18.2'!D40</f>
        <v>0</v>
      </c>
      <c r="F13" s="640"/>
      <c r="G13" s="975"/>
      <c r="H13" s="1073"/>
      <c r="I13" s="643">
        <v>1059.65</v>
      </c>
      <c r="J13" s="643"/>
      <c r="K13" s="378"/>
      <c r="L13" s="644"/>
      <c r="M13" s="474"/>
      <c r="O13" s="668"/>
      <c r="P13" s="474"/>
    </row>
    <row r="14" spans="1:16" ht="13.5">
      <c r="A14" s="170"/>
      <c r="B14" s="375" t="s">
        <v>129</v>
      </c>
      <c r="C14" s="377" t="s">
        <v>1563</v>
      </c>
      <c r="D14" s="2019"/>
      <c r="E14" s="378">
        <f>' П1.18.2'!D41</f>
        <v>0</v>
      </c>
      <c r="F14" s="640"/>
      <c r="G14" s="975"/>
      <c r="H14" s="1073"/>
      <c r="I14" s="643">
        <v>476.07</v>
      </c>
      <c r="J14" s="643"/>
      <c r="K14" s="378"/>
      <c r="L14" s="644"/>
      <c r="M14" s="474"/>
      <c r="O14" s="668"/>
      <c r="P14" s="474"/>
    </row>
    <row r="15" spans="1:12" ht="25.5">
      <c r="A15" s="170"/>
      <c r="B15" s="375" t="s">
        <v>293</v>
      </c>
      <c r="C15" s="380" t="s">
        <v>488</v>
      </c>
      <c r="D15" s="2016" t="s">
        <v>1527</v>
      </c>
      <c r="E15" s="783">
        <f>'П1.21.3 приб.'!D43</f>
        <v>37.01750217412412</v>
      </c>
      <c r="F15" s="640"/>
      <c r="G15" s="991">
        <f>'П1.21.3 приб.'!E43</f>
        <v>37.02</v>
      </c>
      <c r="H15" s="1074">
        <v>48.68</v>
      </c>
      <c r="I15" s="1062">
        <f>'П1.21.3 приб.'!G43</f>
        <v>120.27</v>
      </c>
      <c r="J15" s="643"/>
      <c r="K15" s="783">
        <f>'П1.21.3 приб.'!I43</f>
        <v>52.109925</v>
      </c>
      <c r="L15" s="644"/>
    </row>
    <row r="16" spans="1:12" ht="13.5">
      <c r="A16" s="170"/>
      <c r="B16" s="375" t="s">
        <v>230</v>
      </c>
      <c r="C16" s="377" t="s">
        <v>1560</v>
      </c>
      <c r="D16" s="2017"/>
      <c r="E16" s="378"/>
      <c r="F16" s="640"/>
      <c r="G16" s="975"/>
      <c r="H16" s="1073"/>
      <c r="I16" s="643"/>
      <c r="J16" s="643"/>
      <c r="K16" s="378"/>
      <c r="L16" s="644"/>
    </row>
    <row r="17" spans="1:12" ht="13.5">
      <c r="A17" s="170"/>
      <c r="B17" s="375" t="s">
        <v>1262</v>
      </c>
      <c r="C17" s="377" t="s">
        <v>1517</v>
      </c>
      <c r="D17" s="2017"/>
      <c r="E17" s="378">
        <f>E18+E19</f>
        <v>38.41</v>
      </c>
      <c r="F17" s="640"/>
      <c r="G17" s="975"/>
      <c r="H17" s="1073"/>
      <c r="I17" s="643">
        <f>I18+I19</f>
        <v>120.27</v>
      </c>
      <c r="J17" s="643"/>
      <c r="K17" s="378"/>
      <c r="L17" s="644"/>
    </row>
    <row r="18" spans="1:12" ht="12.75">
      <c r="A18" s="170"/>
      <c r="B18" s="379"/>
      <c r="C18" s="377" t="s">
        <v>1544</v>
      </c>
      <c r="D18" s="2017"/>
      <c r="E18" s="378"/>
      <c r="F18" s="640"/>
      <c r="G18" s="975"/>
      <c r="H18" s="1073"/>
      <c r="I18" s="643"/>
      <c r="J18" s="643"/>
      <c r="K18" s="378"/>
      <c r="L18" s="644"/>
    </row>
    <row r="19" spans="1:12" ht="12.75">
      <c r="A19" s="170"/>
      <c r="B19" s="379"/>
      <c r="C19" s="377" t="s">
        <v>1562</v>
      </c>
      <c r="D19" s="2018"/>
      <c r="E19" s="378">
        <f>'П1.21.3 приб.'!D48</f>
        <v>38.41</v>
      </c>
      <c r="F19" s="640"/>
      <c r="G19" s="975"/>
      <c r="H19" s="1073"/>
      <c r="I19" s="643">
        <v>120.27</v>
      </c>
      <c r="J19" s="643"/>
      <c r="K19" s="378"/>
      <c r="L19" s="644"/>
    </row>
    <row r="20" spans="1:12" ht="13.5">
      <c r="A20" s="170"/>
      <c r="B20" s="375" t="s">
        <v>1263</v>
      </c>
      <c r="C20" s="377" t="s">
        <v>1563</v>
      </c>
      <c r="D20" s="2019"/>
      <c r="E20" s="378">
        <f>'П1.21.3 приб.'!D49</f>
        <v>1.87</v>
      </c>
      <c r="F20" s="640"/>
      <c r="G20" s="975"/>
      <c r="H20" s="1073"/>
      <c r="I20" s="643">
        <v>115</v>
      </c>
      <c r="J20" s="643"/>
      <c r="K20" s="378"/>
      <c r="L20" s="644"/>
    </row>
    <row r="21" spans="1:15" ht="13.5">
      <c r="A21" s="170"/>
      <c r="B21" s="375" t="s">
        <v>1354</v>
      </c>
      <c r="C21" s="380" t="s">
        <v>1545</v>
      </c>
      <c r="D21" s="376" t="s">
        <v>1521</v>
      </c>
      <c r="E21" s="433">
        <f>E15/E9</f>
        <v>0.05118427295967839</v>
      </c>
      <c r="F21" s="640"/>
      <c r="G21" s="975"/>
      <c r="H21" s="1073"/>
      <c r="I21" s="1063">
        <f>I15/I9</f>
        <v>0.09407117716073524</v>
      </c>
      <c r="J21" s="645"/>
      <c r="K21" s="433" t="e">
        <f>K15/K9</f>
        <v>#REF!</v>
      </c>
      <c r="L21" s="665"/>
      <c r="O21" s="394"/>
    </row>
    <row r="22" spans="1:15" ht="25.5">
      <c r="A22" s="170"/>
      <c r="B22" s="375" t="s">
        <v>1355</v>
      </c>
      <c r="C22" s="381" t="s">
        <v>1548</v>
      </c>
      <c r="D22" s="2028" t="s">
        <v>1527</v>
      </c>
      <c r="E22" s="867">
        <f>E9+E15</f>
        <v>760.2377421741243</v>
      </c>
      <c r="F22" s="673"/>
      <c r="G22" s="992">
        <f>G9+G15</f>
        <v>760.24</v>
      </c>
      <c r="H22" s="1075">
        <v>1012.1</v>
      </c>
      <c r="I22" s="1064">
        <v>1481.9</v>
      </c>
      <c r="J22" s="868"/>
      <c r="K22" s="867" t="e">
        <f>K9+K15</f>
        <v>#REF!</v>
      </c>
      <c r="L22" s="673"/>
      <c r="M22" s="279" t="e">
        <f>K22/H22</f>
        <v>#REF!</v>
      </c>
      <c r="N22" s="786"/>
      <c r="O22" s="395"/>
    </row>
    <row r="23" spans="1:15" ht="13.5">
      <c r="A23" s="170"/>
      <c r="B23" s="375" t="s">
        <v>133</v>
      </c>
      <c r="C23" s="377" t="s">
        <v>1560</v>
      </c>
      <c r="D23" s="2029"/>
      <c r="E23" s="869"/>
      <c r="F23" s="644"/>
      <c r="G23" s="976"/>
      <c r="H23" s="1076"/>
      <c r="I23" s="1065"/>
      <c r="J23" s="870"/>
      <c r="K23" s="869"/>
      <c r="L23" s="644"/>
      <c r="N23" s="164"/>
      <c r="O23" s="157"/>
    </row>
    <row r="24" spans="1:15" ht="13.5">
      <c r="A24" s="170"/>
      <c r="B24" s="375" t="s">
        <v>134</v>
      </c>
      <c r="C24" s="377" t="s">
        <v>1517</v>
      </c>
      <c r="D24" s="2029"/>
      <c r="E24" s="869">
        <f>E11+E17</f>
        <v>38.41</v>
      </c>
      <c r="F24" s="644"/>
      <c r="G24" s="976"/>
      <c r="H24" s="1076"/>
      <c r="I24" s="1065"/>
      <c r="J24" s="870"/>
      <c r="K24" s="869">
        <f>K11+K17</f>
        <v>0</v>
      </c>
      <c r="L24" s="644"/>
      <c r="N24" s="164"/>
      <c r="O24" s="157"/>
    </row>
    <row r="25" spans="1:15" ht="12.75">
      <c r="A25" s="170"/>
      <c r="B25" s="379"/>
      <c r="C25" s="377" t="s">
        <v>1544</v>
      </c>
      <c r="D25" s="2029"/>
      <c r="E25" s="869"/>
      <c r="F25" s="644"/>
      <c r="G25" s="976"/>
      <c r="H25" s="1076"/>
      <c r="I25" s="1065"/>
      <c r="J25" s="870"/>
      <c r="K25" s="869"/>
      <c r="L25" s="644"/>
      <c r="N25" s="164"/>
      <c r="O25" s="157"/>
    </row>
    <row r="26" spans="1:15" ht="12.75">
      <c r="A26" s="170"/>
      <c r="B26" s="379"/>
      <c r="C26" s="377" t="s">
        <v>1562</v>
      </c>
      <c r="D26" s="2029"/>
      <c r="E26" s="869">
        <f>E13+E19</f>
        <v>38.41</v>
      </c>
      <c r="F26" s="644"/>
      <c r="G26" s="976"/>
      <c r="H26" s="1076"/>
      <c r="I26" s="1065"/>
      <c r="J26" s="870"/>
      <c r="K26" s="869"/>
      <c r="L26" s="644"/>
      <c r="N26" s="164"/>
      <c r="O26" s="157"/>
    </row>
    <row r="27" spans="1:15" ht="13.5">
      <c r="A27" s="170"/>
      <c r="B27" s="375" t="s">
        <v>135</v>
      </c>
      <c r="C27" s="377" t="s">
        <v>1563</v>
      </c>
      <c r="D27" s="2030"/>
      <c r="E27" s="869">
        <f>E14+E20</f>
        <v>1.87</v>
      </c>
      <c r="F27" s="644"/>
      <c r="G27" s="976"/>
      <c r="H27" s="1076"/>
      <c r="I27" s="1065"/>
      <c r="J27" s="870"/>
      <c r="K27" s="869">
        <f>K14+K20</f>
        <v>0</v>
      </c>
      <c r="L27" s="644"/>
      <c r="N27" s="164"/>
      <c r="O27" s="157"/>
    </row>
    <row r="28" spans="1:12" ht="38.25">
      <c r="A28" s="170"/>
      <c r="B28" s="375" t="s">
        <v>1356</v>
      </c>
      <c r="C28" s="380" t="s">
        <v>1219</v>
      </c>
      <c r="D28" s="2038" t="s">
        <v>1549</v>
      </c>
      <c r="E28" s="646"/>
      <c r="F28" s="666"/>
      <c r="G28" s="977"/>
      <c r="H28" s="1077"/>
      <c r="I28" s="1066"/>
      <c r="J28" s="871"/>
      <c r="K28" s="872" t="e">
        <f>K22*1000/12/Лист3!I140</f>
        <v>#REF!</v>
      </c>
      <c r="L28" s="666"/>
    </row>
    <row r="29" spans="1:14" ht="13.5">
      <c r="A29" s="170"/>
      <c r="B29" s="375" t="s">
        <v>1528</v>
      </c>
      <c r="C29" s="377" t="s">
        <v>1560</v>
      </c>
      <c r="D29" s="2018"/>
      <c r="E29" s="641"/>
      <c r="F29" s="700"/>
      <c r="G29" s="978"/>
      <c r="H29" s="1078"/>
      <c r="I29" s="871"/>
      <c r="J29" s="871"/>
      <c r="K29" s="872"/>
      <c r="L29" s="700"/>
      <c r="M29" s="156"/>
      <c r="N29" s="164"/>
    </row>
    <row r="30" spans="1:15" ht="13.5">
      <c r="A30" s="170"/>
      <c r="B30" s="375" t="s">
        <v>1550</v>
      </c>
      <c r="C30" s="377" t="s">
        <v>1517</v>
      </c>
      <c r="D30" s="2018"/>
      <c r="E30" s="641"/>
      <c r="F30" s="700"/>
      <c r="G30" s="978"/>
      <c r="H30" s="1078"/>
      <c r="I30" s="871"/>
      <c r="J30" s="873"/>
      <c r="K30" s="872"/>
      <c r="L30" s="700"/>
      <c r="M30" s="156"/>
      <c r="N30" s="164"/>
      <c r="O30" s="157"/>
    </row>
    <row r="31" spans="1:15" ht="12.75">
      <c r="A31" s="170"/>
      <c r="B31" s="379"/>
      <c r="C31" s="377" t="s">
        <v>1544</v>
      </c>
      <c r="D31" s="2018"/>
      <c r="E31" s="641"/>
      <c r="F31" s="700"/>
      <c r="G31" s="978"/>
      <c r="H31" s="1078"/>
      <c r="I31" s="871"/>
      <c r="J31" s="871"/>
      <c r="K31" s="872"/>
      <c r="L31" s="700"/>
      <c r="M31" s="156"/>
      <c r="N31" s="164"/>
      <c r="O31" s="157"/>
    </row>
    <row r="32" spans="1:15" ht="12.75">
      <c r="A32" s="170"/>
      <c r="B32" s="379"/>
      <c r="C32" s="377" t="s">
        <v>1562</v>
      </c>
      <c r="D32" s="2018"/>
      <c r="E32" s="641"/>
      <c r="F32" s="700"/>
      <c r="G32" s="978"/>
      <c r="H32" s="1078"/>
      <c r="I32" s="871"/>
      <c r="J32" s="871"/>
      <c r="K32" s="872">
        <f>IF(Лист3!Q85=0,0,(K26+K44+K45)*1000/(Лист3!Q85*(1-Лист3!Q96)*12))</f>
        <v>0</v>
      </c>
      <c r="L32" s="700"/>
      <c r="M32" s="156"/>
      <c r="N32" s="164"/>
      <c r="O32" s="157"/>
    </row>
    <row r="33" spans="1:16" ht="13.5">
      <c r="A33" s="170"/>
      <c r="B33" s="375" t="s">
        <v>1551</v>
      </c>
      <c r="C33" s="377" t="s">
        <v>1563</v>
      </c>
      <c r="D33" s="2019"/>
      <c r="E33" s="641"/>
      <c r="F33" s="700"/>
      <c r="G33" s="978"/>
      <c r="H33" s="1078"/>
      <c r="I33" s="871"/>
      <c r="J33" s="871"/>
      <c r="K33" s="872">
        <f>IF(Лист3!R85=0,0,(K27+K46)*1000/(Лист3!R85*(1-Лист3!R96)*12))</f>
        <v>0</v>
      </c>
      <c r="L33" s="700"/>
      <c r="M33" s="156"/>
      <c r="N33" s="2013" t="s">
        <v>187</v>
      </c>
      <c r="O33" s="2014"/>
      <c r="P33" s="2015"/>
    </row>
    <row r="34" spans="1:16" ht="38.25" customHeight="1">
      <c r="A34" s="170"/>
      <c r="B34" s="375" t="s">
        <v>1358</v>
      </c>
      <c r="C34" s="380" t="s">
        <v>1220</v>
      </c>
      <c r="D34" s="2038" t="s">
        <v>2390</v>
      </c>
      <c r="E34" s="647"/>
      <c r="F34" s="666"/>
      <c r="G34" s="977"/>
      <c r="H34" s="1077"/>
      <c r="I34" s="875"/>
      <c r="J34" s="875"/>
      <c r="K34" s="874" t="e">
        <f>K22/Лист3!D140</f>
        <v>#REF!</v>
      </c>
      <c r="L34" s="666"/>
      <c r="N34" s="701" t="s">
        <v>188</v>
      </c>
      <c r="O34" s="131" t="s">
        <v>189</v>
      </c>
      <c r="P34" s="801" t="s">
        <v>190</v>
      </c>
    </row>
    <row r="35" spans="1:16" ht="13.5">
      <c r="A35" s="170"/>
      <c r="B35" s="375" t="s">
        <v>1552</v>
      </c>
      <c r="C35" s="377" t="s">
        <v>1560</v>
      </c>
      <c r="D35" s="2018"/>
      <c r="E35" s="648"/>
      <c r="F35" s="670"/>
      <c r="G35" s="650"/>
      <c r="H35" s="1079"/>
      <c r="I35" s="649"/>
      <c r="J35" s="649"/>
      <c r="K35" s="648"/>
      <c r="L35" s="670"/>
      <c r="M35" s="705" t="s">
        <v>1560</v>
      </c>
      <c r="N35" s="702">
        <f>E35+'П1.25'!E33</f>
        <v>0</v>
      </c>
      <c r="O35" s="157">
        <f>I35+'П1.25'!F33</f>
        <v>0</v>
      </c>
      <c r="P35" s="802">
        <f>K35+'П1.25'!G33</f>
        <v>0</v>
      </c>
    </row>
    <row r="36" spans="1:16" ht="13.5">
      <c r="A36" s="170"/>
      <c r="B36" s="375" t="s">
        <v>1553</v>
      </c>
      <c r="C36" s="377" t="s">
        <v>1517</v>
      </c>
      <c r="D36" s="2018"/>
      <c r="E36" s="648"/>
      <c r="F36" s="669"/>
      <c r="G36" s="975"/>
      <c r="H36" s="1073"/>
      <c r="I36" s="649"/>
      <c r="J36" s="650"/>
      <c r="K36" s="648"/>
      <c r="L36" s="669"/>
      <c r="M36" s="705"/>
      <c r="N36" s="702"/>
      <c r="P36" s="802"/>
    </row>
    <row r="37" spans="1:16" ht="12.75">
      <c r="A37" s="170"/>
      <c r="B37" s="379"/>
      <c r="C37" s="377" t="s">
        <v>1544</v>
      </c>
      <c r="D37" s="2018"/>
      <c r="E37" s="648"/>
      <c r="F37" s="670"/>
      <c r="G37" s="650"/>
      <c r="H37" s="1079"/>
      <c r="I37" s="649"/>
      <c r="J37" s="650"/>
      <c r="K37" s="648"/>
      <c r="L37" s="670"/>
      <c r="M37" s="705" t="s">
        <v>1561</v>
      </c>
      <c r="N37" s="702">
        <f>E37+'П1.25'!E35</f>
        <v>0</v>
      </c>
      <c r="O37" s="157">
        <f>I37+'П1.25'!F35</f>
        <v>0</v>
      </c>
      <c r="P37" s="802">
        <f>K37+'П1.25'!G35</f>
        <v>0</v>
      </c>
    </row>
    <row r="38" spans="1:16" ht="12.75">
      <c r="A38" s="170"/>
      <c r="B38" s="382"/>
      <c r="C38" s="377" t="s">
        <v>1562</v>
      </c>
      <c r="D38" s="2018"/>
      <c r="E38" s="648"/>
      <c r="F38" s="670"/>
      <c r="G38" s="650"/>
      <c r="H38" s="1079"/>
      <c r="I38" s="649"/>
      <c r="J38" s="649"/>
      <c r="K38" s="648">
        <f>IF(Лист3!$G$140=0,0,K32*12*Лист3!$L$140/Лист3!$G$140/1000)</f>
        <v>0</v>
      </c>
      <c r="L38" s="670"/>
      <c r="M38" s="705" t="s">
        <v>2319</v>
      </c>
      <c r="N38" s="702">
        <f>E38+'П1.25'!E36</f>
        <v>0</v>
      </c>
      <c r="O38" s="157">
        <f>I38+'П1.25'!F36</f>
        <v>122.317</v>
      </c>
      <c r="P38" s="802">
        <f>K38+'П1.25'!G36</f>
        <v>56.24384005339105</v>
      </c>
    </row>
    <row r="39" spans="1:16" ht="14.25" thickBot="1">
      <c r="A39" s="170"/>
      <c r="B39" s="383" t="s">
        <v>1541</v>
      </c>
      <c r="C39" s="384" t="s">
        <v>1563</v>
      </c>
      <c r="D39" s="2019"/>
      <c r="E39" s="651"/>
      <c r="F39" s="671"/>
      <c r="G39" s="979"/>
      <c r="H39" s="1080"/>
      <c r="I39" s="655"/>
      <c r="J39" s="655"/>
      <c r="K39" s="651">
        <f>K33*12*Лист3!$M$140/Лист3!$H$140/1000</f>
        <v>0</v>
      </c>
      <c r="L39" s="671"/>
      <c r="M39" s="705" t="s">
        <v>1563</v>
      </c>
      <c r="N39" s="703">
        <f>E39+'П1.25'!E37</f>
        <v>0</v>
      </c>
      <c r="O39" s="704">
        <f>I39+'П1.25'!F37</f>
        <v>18.15</v>
      </c>
      <c r="P39" s="803">
        <f>K39+'П1.25'!G37</f>
        <v>20.318280354722496</v>
      </c>
    </row>
    <row r="40" spans="1:12" ht="12.75">
      <c r="A40" s="170"/>
      <c r="B40" s="170"/>
      <c r="C40" s="170"/>
      <c r="D40" s="170"/>
      <c r="E40" s="653"/>
      <c r="F40" s="170"/>
      <c r="G40" s="170"/>
      <c r="H40" s="389"/>
      <c r="I40" s="652"/>
      <c r="J40" s="652"/>
      <c r="K40" s="653"/>
      <c r="L40" s="170"/>
    </row>
    <row r="41" spans="1:12" ht="13.5" thickBot="1">
      <c r="A41" s="170"/>
      <c r="B41" s="170"/>
      <c r="C41" s="170"/>
      <c r="D41" s="170"/>
      <c r="E41" s="653"/>
      <c r="F41" s="170"/>
      <c r="G41" s="170"/>
      <c r="H41" s="389"/>
      <c r="I41" s="652"/>
      <c r="J41" s="652"/>
      <c r="K41" s="653"/>
      <c r="L41" s="170"/>
    </row>
    <row r="42" spans="1:15" ht="13.5" customHeight="1">
      <c r="A42" s="170"/>
      <c r="B42" s="385"/>
      <c r="C42" s="386" t="s">
        <v>429</v>
      </c>
      <c r="D42" s="387" t="s">
        <v>1527</v>
      </c>
      <c r="E42" s="657">
        <f>E23-E29/1000*Лист3!$E$98*12</f>
        <v>0</v>
      </c>
      <c r="F42" s="638">
        <f>F23-F29/1000*Лист3!$O$98*12</f>
        <v>0</v>
      </c>
      <c r="G42" s="980"/>
      <c r="H42" s="1081"/>
      <c r="I42" s="1067">
        <f>I23-(I29/1000*Лист3!J129*12)</f>
        <v>0</v>
      </c>
      <c r="J42" s="662">
        <f>J23-(J29/1000*Лист3!J129*12)</f>
        <v>0</v>
      </c>
      <c r="K42" s="657">
        <f>K23-K29/1000*Лист3!J140*12</f>
        <v>0</v>
      </c>
      <c r="L42" s="638">
        <f>L23-L29/1000*Лист3!J140*12</f>
        <v>0</v>
      </c>
      <c r="O42" s="667"/>
    </row>
    <row r="43" spans="1:12" ht="12.75">
      <c r="A43" s="170"/>
      <c r="B43" s="388"/>
      <c r="C43" s="389" t="s">
        <v>430</v>
      </c>
      <c r="D43" s="390" t="s">
        <v>1527</v>
      </c>
      <c r="E43" s="658">
        <f>IF(Лист3!$F$85+Лист3!$G$87-Лист3!$F$90-Лист3!$F$91-Лист3!$F$92-Лист3!$G$90-Лист3!$G$91-Лист3!$G$92=0,0,E42*(Лист3!$F$85-Лист3!$F$90-Лист3!$F$91-Лист3!$F$92)/(Лист3!$F$85+Лист3!$G$87-Лист3!$F$90-Лист3!$F$91-Лист3!$F$92-Лист3!$G$90-Лист3!$G$91-Лист3!$G$92))</f>
        <v>0</v>
      </c>
      <c r="F43" s="659">
        <f>IF(Лист3!$P$85+Лист3!$Q$87-Лист3!$P$90-Лист3!$P$91-Лист3!$P$92-Лист3!$Q$90-Лист3!$Q$91-Лист3!$Q$92=0,0,F42*(Лист3!$P$85-Лист3!$P$90-Лист3!$P$91-Лист3!$P$92)/(Лист3!$P$85+Лист3!$Q$87-Лист3!$P$90-Лист3!$P$91-Лист3!$P$92-Лист3!$Q$90-Лист3!$Q$91-Лист3!$Q$92))</f>
        <v>0</v>
      </c>
      <c r="G43" s="653"/>
      <c r="H43" s="1082"/>
      <c r="I43" s="653">
        <f>IF(Лист3!$K$85+Лист3!$L$87-Лист3!$K$90-Лист3!$K$91-Лист3!$K$92-Лист3!$L$90-Лист3!$L$91-Лист3!$L$92=0,0,I42*(Лист3!$K$85-Лист3!$K$90-Лист3!$K$91-Лист3!$K$92)/(Лист3!$K$85+Лист3!$L$87-Лист3!$K$90-Лист3!$K$91-Лист3!$K$92-Лист3!$L$90-Лист3!$L$91-Лист3!$L$92))</f>
        <v>0</v>
      </c>
      <c r="J43" s="654">
        <f>IF(Лист3!$K$85+Лист3!$L$87-Лист3!$K$90-Лист3!$K$91-Лист3!$K$92-Лист3!$L$90-Лист3!$L$91-Лист3!$L$92=0,0,J42*((Лист3!$K$85-Лист3!$K$90-Лист3!$K$91-Лист3!$K$92)/(Лист3!$K$85+Лист3!$L$87-Лист3!$K$90-Лист3!$K$91-Лист3!$K$92-Лист3!$L$90-Лист3!$L$91-Лист3!$L$92)))</f>
        <v>0</v>
      </c>
      <c r="K43" s="658">
        <f>IF(Лист3!$P$85+Лист3!$Q$87-Лист3!$P$90-Лист3!$P$91-Лист3!$P$92-Лист3!$Q$90-Лист3!$Q$91-Лист3!$Q$92=0,0,K42*(Лист3!$P$85-Лист3!$P$90-Лист3!$P$91-Лист3!$P$92)/(Лист3!$P$85+Лист3!$Q$87-Лист3!$P$90-Лист3!$P$91-Лист3!$P$92-Лист3!$Q$90-Лист3!$Q$91-Лист3!$Q$92))</f>
        <v>0</v>
      </c>
      <c r="L43" s="659">
        <f>IF(Лист3!$P$85+Лист3!$Q$87-Лист3!$P$90-Лист3!$P$91-Лист3!$P$92-Лист3!$Q$90-Лист3!$Q$91-Лист3!$Q$92=0,0,L42*(Лист3!$P$85-Лист3!$P$90-Лист3!$P$91-Лист3!$P$92)/(Лист3!$P$85+Лист3!$Q$87-Лист3!$P$90-Лист3!$P$91-Лист3!$P$92-Лист3!$Q$90-Лист3!$Q$91-Лист3!$Q$92))</f>
        <v>0</v>
      </c>
    </row>
    <row r="44" spans="1:16" ht="12.75">
      <c r="A44" s="170"/>
      <c r="B44" s="388"/>
      <c r="C44" s="389" t="s">
        <v>431</v>
      </c>
      <c r="D44" s="390" t="s">
        <v>1527</v>
      </c>
      <c r="E44" s="641">
        <f aca="true" t="shared" si="0" ref="E44:L44">E42-E43</f>
        <v>0</v>
      </c>
      <c r="F44" s="434">
        <f t="shared" si="0"/>
        <v>0</v>
      </c>
      <c r="G44" s="981"/>
      <c r="H44" s="1083"/>
      <c r="I44" s="1068">
        <f t="shared" si="0"/>
        <v>0</v>
      </c>
      <c r="J44" s="639">
        <f t="shared" si="0"/>
        <v>0</v>
      </c>
      <c r="K44" s="641">
        <f t="shared" si="0"/>
        <v>0</v>
      </c>
      <c r="L44" s="434">
        <f t="shared" si="0"/>
        <v>0</v>
      </c>
      <c r="P44" s="474"/>
    </row>
    <row r="45" spans="1:16" ht="12.75">
      <c r="A45" s="170"/>
      <c r="B45" s="388"/>
      <c r="C45" s="389" t="s">
        <v>116</v>
      </c>
      <c r="D45" s="390" t="s">
        <v>1527</v>
      </c>
      <c r="E45" s="658">
        <f>E25+E43-E31/1000*Лист3!F98*12</f>
        <v>0</v>
      </c>
      <c r="F45" s="659">
        <f>F25+F43-F31/1000*Лист3!$P$64*12</f>
        <v>0</v>
      </c>
      <c r="G45" s="653"/>
      <c r="H45" s="1082"/>
      <c r="I45" s="653">
        <f>I25+I43-I31/1000*Лист3!K129*12</f>
        <v>0</v>
      </c>
      <c r="J45" s="654">
        <f>J25+J43-J31/1000*Лист3!K129*12</f>
        <v>0</v>
      </c>
      <c r="K45" s="658">
        <f>K25+K43-K31/1000*Лист3!K140*12</f>
        <v>0</v>
      </c>
      <c r="L45" s="659">
        <f>L25+L43-L31/1000*Лист3!K140*12</f>
        <v>0</v>
      </c>
      <c r="P45" s="474"/>
    </row>
    <row r="46" spans="1:16" ht="13.5" thickBot="1">
      <c r="A46" s="170"/>
      <c r="B46" s="391"/>
      <c r="C46" s="392" t="s">
        <v>499</v>
      </c>
      <c r="D46" s="393" t="s">
        <v>1527</v>
      </c>
      <c r="E46" s="660">
        <f>E26+E44+E45-E32/1000*Лист3!$G$98*12</f>
        <v>38.41</v>
      </c>
      <c r="F46" s="661">
        <f>F26+F44+F45-F32/1000*Лист3!$Q$98*12</f>
        <v>0</v>
      </c>
      <c r="G46" s="982"/>
      <c r="H46" s="1084"/>
      <c r="I46" s="1069"/>
      <c r="J46" s="663">
        <f>J26+J44+J45-J32/1000*Лист3!L129*12</f>
        <v>0</v>
      </c>
      <c r="K46" s="660">
        <f>K26+K44+K45-K32/1000*Лист3!L140*12</f>
        <v>0</v>
      </c>
      <c r="L46" s="661">
        <f>L26+L44+L45-L32/1000*Лист3!L140*12</f>
        <v>0</v>
      </c>
      <c r="P46" s="474"/>
    </row>
    <row r="47" ht="12.75">
      <c r="P47" s="474"/>
    </row>
    <row r="48" spans="3:16" ht="15">
      <c r="C48" s="674" t="s">
        <v>2318</v>
      </c>
      <c r="E48" s="2035" t="s">
        <v>2445</v>
      </c>
      <c r="F48" s="2036"/>
      <c r="G48" s="2036"/>
      <c r="H48" s="2036"/>
      <c r="I48" s="2036"/>
      <c r="J48" s="2036"/>
      <c r="K48" s="2036"/>
      <c r="L48" s="2037"/>
      <c r="P48" s="474"/>
    </row>
    <row r="49" spans="5:16" ht="12.75">
      <c r="E49" s="676"/>
      <c r="F49" s="677"/>
      <c r="G49" s="983"/>
      <c r="H49" s="983"/>
      <c r="I49" s="676">
        <f>(I29*Лист3!$J$98*12+I31*Лист3!$K$98*12+I32*Лист3!$L$98*12+I33*Лист3!$M$98*12)/1000</f>
        <v>0</v>
      </c>
      <c r="J49" s="696">
        <f>(J29*Лист3!$J$98*12+J31*Лист3!$K$98*12+J32*Лист3!$L$98*12+J33*Лист3!$M$98*12)/1000</f>
        <v>0</v>
      </c>
      <c r="K49" s="676"/>
      <c r="L49" s="677"/>
      <c r="P49" s="474"/>
    </row>
    <row r="50" spans="4:16" ht="13.5" customHeight="1">
      <c r="D50" s="656">
        <f>Лист3!N120</f>
        <v>3862.6459143968873</v>
      </c>
      <c r="E50" s="692">
        <f aca="true" t="shared" si="1" ref="E50:L50">E22</f>
        <v>760.2377421741243</v>
      </c>
      <c r="F50" s="678">
        <f t="shared" si="1"/>
        <v>0</v>
      </c>
      <c r="G50" s="984"/>
      <c r="H50" s="984"/>
      <c r="I50" s="682">
        <f t="shared" si="1"/>
        <v>1481.9</v>
      </c>
      <c r="J50" s="856">
        <f t="shared" si="1"/>
        <v>0</v>
      </c>
      <c r="K50" s="692" t="e">
        <f t="shared" si="1"/>
        <v>#REF!</v>
      </c>
      <c r="L50" s="678">
        <f t="shared" si="1"/>
        <v>0</v>
      </c>
      <c r="P50" s="474"/>
    </row>
    <row r="51" spans="5:12" ht="13.5" customHeight="1">
      <c r="E51" s="683">
        <f aca="true" t="shared" si="2" ref="E51:L51">SUM(E52:E55)</f>
        <v>0</v>
      </c>
      <c r="F51" s="680">
        <f t="shared" si="2"/>
        <v>0</v>
      </c>
      <c r="G51" s="985"/>
      <c r="H51" s="985"/>
      <c r="I51" s="683">
        <f t="shared" si="2"/>
        <v>0</v>
      </c>
      <c r="J51" s="857">
        <f t="shared" si="2"/>
        <v>0</v>
      </c>
      <c r="K51" s="683">
        <f t="shared" si="2"/>
        <v>0</v>
      </c>
      <c r="L51" s="680">
        <f t="shared" si="2"/>
        <v>0</v>
      </c>
    </row>
    <row r="52" spans="4:12" ht="12.75">
      <c r="D52" s="656" t="e">
        <f>Лист3!E120/Лист3!J120*1000</f>
        <v>#DIV/0!</v>
      </c>
      <c r="E52" s="679">
        <f>E35*Лист3!$E$120</f>
        <v>0</v>
      </c>
      <c r="F52" s="693">
        <f>F35*Лист3!$E$120</f>
        <v>0</v>
      </c>
      <c r="G52" s="986"/>
      <c r="H52" s="986"/>
      <c r="I52" s="679">
        <f>I35*Лист3!$E$129</f>
        <v>0</v>
      </c>
      <c r="J52" s="697">
        <f>J35*Лист3!$E$129</f>
        <v>0</v>
      </c>
      <c r="K52" s="679">
        <f>K35*Лист3!$E$140</f>
        <v>0</v>
      </c>
      <c r="L52" s="693">
        <f>L35*Лист3!$E$140</f>
        <v>0</v>
      </c>
    </row>
    <row r="53" spans="4:12" ht="12.75">
      <c r="D53" s="656">
        <f>IF(Лист3!K120=0,0,Лист3!F120/Лист3!K120*1000)</f>
        <v>0</v>
      </c>
      <c r="E53" s="679">
        <f>E37*Лист3!$F$120</f>
        <v>0</v>
      </c>
      <c r="F53" s="693">
        <f>F37*Лист3!$F$120</f>
        <v>0</v>
      </c>
      <c r="G53" s="986"/>
      <c r="H53" s="986"/>
      <c r="I53" s="679">
        <f>I37*Лист3!$F$129</f>
        <v>0</v>
      </c>
      <c r="J53" s="697">
        <f>J37*Лист3!$F$129</f>
        <v>0</v>
      </c>
      <c r="K53" s="679">
        <f>K37*Лист3!$F$140</f>
        <v>0</v>
      </c>
      <c r="L53" s="693">
        <f>L37*Лист3!$F$140</f>
        <v>0</v>
      </c>
    </row>
    <row r="54" spans="4:12" ht="12.75">
      <c r="D54" s="656">
        <f>Лист3!G120/Лист3!L120*1000</f>
        <v>3862.5992649974883</v>
      </c>
      <c r="E54" s="679">
        <f>E38*Лист3!$G$120</f>
        <v>0</v>
      </c>
      <c r="F54" s="693">
        <f>F38*Лист3!$G$120</f>
        <v>0</v>
      </c>
      <c r="G54" s="986"/>
      <c r="H54" s="986"/>
      <c r="I54" s="679">
        <f>I38*Лист3!$G$129</f>
        <v>0</v>
      </c>
      <c r="J54" s="697">
        <f>J38*Лист3!$G$129</f>
        <v>0</v>
      </c>
      <c r="K54" s="679">
        <f>K38*Лист3!$G$140</f>
        <v>0</v>
      </c>
      <c r="L54" s="693">
        <f>L38*Лист3!$G$140</f>
        <v>0</v>
      </c>
    </row>
    <row r="55" spans="4:12" ht="12.75">
      <c r="D55" s="656">
        <f>Лист3!H120/Лист3!M120*1000</f>
        <v>3867.07868555924</v>
      </c>
      <c r="E55" s="681">
        <f>E39*Лист3!$H$120</f>
        <v>0</v>
      </c>
      <c r="F55" s="694">
        <f>F39*Лист3!$H$120</f>
        <v>0</v>
      </c>
      <c r="G55" s="987"/>
      <c r="H55" s="987"/>
      <c r="I55" s="681">
        <f>I39*Лист3!$H$129</f>
        <v>0</v>
      </c>
      <c r="J55" s="698">
        <f>J39*Лист3!$H$129</f>
        <v>0</v>
      </c>
      <c r="K55" s="681">
        <f>K39*Лист3!$H$140</f>
        <v>0</v>
      </c>
      <c r="L55" s="694">
        <f>L39*Лист3!$H$140</f>
        <v>0</v>
      </c>
    </row>
    <row r="56" spans="3:12" ht="12.75">
      <c r="C56" s="394"/>
      <c r="E56" s="684">
        <f>E29*12*Лист3!$J$120/1000</f>
        <v>0</v>
      </c>
      <c r="F56" s="695">
        <f>F29*12*Лист3!$J$120/1000</f>
        <v>0</v>
      </c>
      <c r="G56" s="988"/>
      <c r="H56" s="988"/>
      <c r="I56" s="684">
        <f>I29*12*Лист3!$J$129/1000</f>
        <v>0</v>
      </c>
      <c r="J56" s="699">
        <f>J29*12*Лист3!$J$129/1000</f>
        <v>0</v>
      </c>
      <c r="K56" s="684">
        <f>K29*12*Лист3!$J$140/1000</f>
        <v>0</v>
      </c>
      <c r="L56" s="695">
        <f>L29*12*Лист3!$J$129/1000</f>
        <v>0</v>
      </c>
    </row>
    <row r="57" spans="3:12" ht="12.75">
      <c r="C57" s="395"/>
      <c r="E57" s="679">
        <f>E31*12*Лист3!$K$120/1000</f>
        <v>0</v>
      </c>
      <c r="F57" s="693">
        <f>F31*12*Лист3!$K$120/1000</f>
        <v>0</v>
      </c>
      <c r="G57" s="986"/>
      <c r="H57" s="986"/>
      <c r="I57" s="679">
        <f>I31*12*Лист3!$K$129/1000</f>
        <v>0</v>
      </c>
      <c r="J57" s="697">
        <f>J31*12*Лист3!$K$129/1000</f>
        <v>0</v>
      </c>
      <c r="K57" s="679">
        <f>K31*12*Лист3!$K$140/1000</f>
        <v>0</v>
      </c>
      <c r="L57" s="693">
        <f>L31*12*Лист3!$K$129/1000</f>
        <v>0</v>
      </c>
    </row>
    <row r="58" spans="3:12" ht="12.75">
      <c r="C58" s="157"/>
      <c r="E58" s="679">
        <f>E32*12*Лист3!$L$120/1000</f>
        <v>0</v>
      </c>
      <c r="F58" s="693">
        <f>F32*12*Лист3!$L$120/1000</f>
        <v>0</v>
      </c>
      <c r="G58" s="986"/>
      <c r="H58" s="986"/>
      <c r="I58" s="679">
        <f>I32*12*Лист3!$L$129/1000</f>
        <v>0</v>
      </c>
      <c r="J58" s="697">
        <f>J32*12*Лист3!$L$129/1000</f>
        <v>0</v>
      </c>
      <c r="K58" s="679">
        <f>K32*12*Лист3!$L$140/1000</f>
        <v>0</v>
      </c>
      <c r="L58" s="693">
        <f>L32*12*Лист3!$L$129/1000</f>
        <v>0</v>
      </c>
    </row>
    <row r="59" spans="3:12" ht="12.75">
      <c r="C59" s="157"/>
      <c r="E59" s="679">
        <f>E33*12*Лист3!$M$120/1000</f>
        <v>0</v>
      </c>
      <c r="F59" s="693">
        <f>F33*12*Лист3!$M$120/1000</f>
        <v>0</v>
      </c>
      <c r="G59" s="986"/>
      <c r="H59" s="986"/>
      <c r="I59" s="679">
        <f>I33*12*Лист3!$M$129/1000</f>
        <v>0</v>
      </c>
      <c r="J59" s="697">
        <f>J33*12*Лист3!$M$129/1000</f>
        <v>0</v>
      </c>
      <c r="K59" s="679">
        <f>K33*12*Лист3!$M$140/1000</f>
        <v>0</v>
      </c>
      <c r="L59" s="693">
        <f>L33*12*Лист3!$M$129/1000</f>
        <v>0</v>
      </c>
    </row>
    <row r="60" spans="3:12" ht="15">
      <c r="C60" s="157"/>
      <c r="E60" s="685">
        <f aca="true" t="shared" si="3" ref="E60:L60">SUM(E56:E59)</f>
        <v>0</v>
      </c>
      <c r="F60" s="675">
        <f t="shared" si="3"/>
        <v>0</v>
      </c>
      <c r="G60" s="989"/>
      <c r="H60" s="989"/>
      <c r="I60" s="685">
        <f t="shared" si="3"/>
        <v>0</v>
      </c>
      <c r="J60" s="858">
        <f t="shared" si="3"/>
        <v>0</v>
      </c>
      <c r="K60" s="685">
        <f t="shared" si="3"/>
        <v>0</v>
      </c>
      <c r="L60" s="675">
        <f t="shared" si="3"/>
        <v>0</v>
      </c>
    </row>
    <row r="61" spans="2:12" ht="15">
      <c r="B61" s="261"/>
      <c r="C61" s="262"/>
      <c r="D61" s="261"/>
      <c r="E61" s="261"/>
      <c r="F61" s="261"/>
      <c r="G61" s="261"/>
      <c r="H61" s="261"/>
      <c r="I61" s="261"/>
      <c r="J61" s="261"/>
      <c r="K61" s="261"/>
      <c r="L61" s="261"/>
    </row>
    <row r="62" ht="12.75">
      <c r="C62" s="157"/>
    </row>
    <row r="63" ht="12.75">
      <c r="K63" s="131" t="e">
        <f>K22/'П1.21.3 приб.'!#REF!</f>
        <v>#REF!</v>
      </c>
    </row>
    <row r="64" ht="12.75"/>
  </sheetData>
  <sheetProtection/>
  <mergeCells count="15">
    <mergeCell ref="E48:L48"/>
    <mergeCell ref="D34:D39"/>
    <mergeCell ref="D28:D33"/>
    <mergeCell ref="B4:E5"/>
    <mergeCell ref="D9:D14"/>
    <mergeCell ref="F4:J5"/>
    <mergeCell ref="N33:P33"/>
    <mergeCell ref="D15:D20"/>
    <mergeCell ref="B6:B7"/>
    <mergeCell ref="E6:F6"/>
    <mergeCell ref="C6:C7"/>
    <mergeCell ref="I6:J6"/>
    <mergeCell ref="D22:D27"/>
    <mergeCell ref="K6:L6"/>
    <mergeCell ref="D6:D7"/>
  </mergeCells>
  <printOptions/>
  <pageMargins left="0.75" right="0.18" top="0.7" bottom="0.65" header="0.19" footer="0.5"/>
  <pageSetup fitToHeight="1" fitToWidth="1" horizontalDpi="600" verticalDpi="600" orientation="portrait" paperSize="9" scale="56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6"/>
  <sheetViews>
    <sheetView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5.75390625" style="127" customWidth="1"/>
    <col min="2" max="2" width="8.875" style="127" customWidth="1"/>
    <col min="3" max="3" width="34.25390625" style="127" customWidth="1"/>
    <col min="4" max="4" width="13.125" style="127" customWidth="1"/>
    <col min="5" max="5" width="13.00390625" style="127" customWidth="1"/>
    <col min="6" max="6" width="14.875" style="127" customWidth="1"/>
    <col min="7" max="7" width="13.875" style="127" customWidth="1"/>
    <col min="8" max="8" width="13.25390625" style="127" bestFit="1" customWidth="1"/>
    <col min="9" max="9" width="14.375" style="127" bestFit="1" customWidth="1"/>
    <col min="10" max="11" width="11.625" style="127" customWidth="1"/>
    <col min="12" max="16384" width="9.125" style="127" customWidth="1"/>
  </cols>
  <sheetData>
    <row r="1" ht="12.75">
      <c r="A1" s="126" t="s">
        <v>1513</v>
      </c>
    </row>
    <row r="2" ht="14.25" thickBot="1">
      <c r="B2" s="128"/>
    </row>
    <row r="3" spans="2:7" ht="12.75" customHeight="1">
      <c r="B3" s="2053" t="s">
        <v>2368</v>
      </c>
      <c r="C3" s="2054"/>
      <c r="D3" s="2054"/>
      <c r="E3" s="2054"/>
      <c r="F3" s="2049" t="s">
        <v>537</v>
      </c>
      <c r="G3" s="2050"/>
    </row>
    <row r="4" spans="2:7" ht="13.5" thickBot="1">
      <c r="B4" s="2055"/>
      <c r="C4" s="2056"/>
      <c r="D4" s="2056"/>
      <c r="E4" s="2056"/>
      <c r="F4" s="2051"/>
      <c r="G4" s="2052"/>
    </row>
    <row r="5" spans="2:7" ht="36.75" thickBot="1">
      <c r="B5" s="311" t="s">
        <v>1381</v>
      </c>
      <c r="C5" s="309"/>
      <c r="D5" s="312" t="s">
        <v>2504</v>
      </c>
      <c r="E5" s="310" t="s">
        <v>1256</v>
      </c>
      <c r="F5" s="881" t="s">
        <v>2568</v>
      </c>
      <c r="G5" s="882" t="s">
        <v>1351</v>
      </c>
    </row>
    <row r="6" spans="2:7" ht="13.5" thickBot="1">
      <c r="B6" s="309">
        <v>1</v>
      </c>
      <c r="C6" s="309">
        <v>2</v>
      </c>
      <c r="D6" s="309">
        <v>3</v>
      </c>
      <c r="E6" s="308">
        <v>4</v>
      </c>
      <c r="F6" s="876">
        <v>5</v>
      </c>
      <c r="G6" s="877">
        <v>6</v>
      </c>
    </row>
    <row r="7" spans="2:7" ht="25.5">
      <c r="B7" s="323" t="s">
        <v>292</v>
      </c>
      <c r="C7" s="330" t="s">
        <v>1514</v>
      </c>
      <c r="D7" s="322" t="s">
        <v>2390</v>
      </c>
      <c r="E7" s="878">
        <v>827.605</v>
      </c>
      <c r="F7" s="883">
        <v>1221.22</v>
      </c>
      <c r="G7" s="878">
        <v>1001</v>
      </c>
    </row>
    <row r="8" spans="2:7" ht="40.5" customHeight="1">
      <c r="B8" s="324" t="s">
        <v>293</v>
      </c>
      <c r="C8" s="331" t="s">
        <v>1515</v>
      </c>
      <c r="D8" s="2057" t="s">
        <v>1516</v>
      </c>
      <c r="E8" s="314"/>
      <c r="F8" s="396">
        <f>Лист3!I51</f>
        <v>27.6</v>
      </c>
      <c r="G8" s="828">
        <f>Лист3!N51</f>
        <v>27.6</v>
      </c>
    </row>
    <row r="9" spans="2:7" ht="14.25">
      <c r="B9" s="324" t="s">
        <v>230</v>
      </c>
      <c r="C9" s="332" t="s">
        <v>1560</v>
      </c>
      <c r="D9" s="2057"/>
      <c r="E9" s="314"/>
      <c r="F9" s="396"/>
      <c r="G9" s="828"/>
    </row>
    <row r="10" spans="2:7" ht="14.25">
      <c r="B10" s="324" t="s">
        <v>1262</v>
      </c>
      <c r="C10" s="332" t="s">
        <v>1517</v>
      </c>
      <c r="D10" s="2057"/>
      <c r="E10" s="314"/>
      <c r="F10" s="396"/>
      <c r="G10" s="828"/>
    </row>
    <row r="11" spans="2:7" ht="14.25">
      <c r="B11" s="325"/>
      <c r="C11" s="332" t="s">
        <v>1518</v>
      </c>
      <c r="D11" s="2057"/>
      <c r="E11" s="314"/>
      <c r="F11" s="396"/>
      <c r="G11" s="828"/>
    </row>
    <row r="12" spans="2:7" ht="14.25">
      <c r="B12" s="325"/>
      <c r="C12" s="333" t="s">
        <v>1562</v>
      </c>
      <c r="D12" s="2057"/>
      <c r="E12" s="314"/>
      <c r="F12" s="396">
        <f>Лист3!L51</f>
        <v>27.65</v>
      </c>
      <c r="G12" s="828">
        <f>Лист3!Q51</f>
        <v>27.6</v>
      </c>
    </row>
    <row r="13" spans="2:7" ht="14.25">
      <c r="B13" s="324" t="s">
        <v>1263</v>
      </c>
      <c r="C13" s="332" t="s">
        <v>1563</v>
      </c>
      <c r="D13" s="2057"/>
      <c r="E13" s="314"/>
      <c r="F13" s="396">
        <f>Лист3!M51</f>
        <v>1.7282800000000016</v>
      </c>
      <c r="G13" s="828">
        <f>Лист3!R51</f>
        <v>2.00172</v>
      </c>
    </row>
    <row r="14" spans="2:7" ht="14.25">
      <c r="B14" s="324" t="s">
        <v>1519</v>
      </c>
      <c r="C14" s="332" t="s">
        <v>1520</v>
      </c>
      <c r="D14" s="2057" t="s">
        <v>1521</v>
      </c>
      <c r="E14" s="316"/>
      <c r="F14" s="826">
        <f>Лист3!I62</f>
        <v>0.06946978101449275</v>
      </c>
      <c r="G14" s="879">
        <f>Лист3!N62</f>
        <v>0.05398550724637681</v>
      </c>
    </row>
    <row r="15" spans="2:7" ht="14.25">
      <c r="B15" s="324" t="s">
        <v>177</v>
      </c>
      <c r="C15" s="332" t="s">
        <v>1560</v>
      </c>
      <c r="D15" s="2057"/>
      <c r="E15" s="317"/>
      <c r="F15" s="397"/>
      <c r="G15" s="879"/>
    </row>
    <row r="16" spans="2:7" ht="14.25">
      <c r="B16" s="324" t="s">
        <v>1522</v>
      </c>
      <c r="C16" s="332" t="s">
        <v>1517</v>
      </c>
      <c r="D16" s="2057"/>
      <c r="E16" s="317"/>
      <c r="F16" s="397"/>
      <c r="G16" s="879"/>
    </row>
    <row r="17" spans="2:7" ht="14.25">
      <c r="B17" s="325"/>
      <c r="C17" s="332" t="s">
        <v>1518</v>
      </c>
      <c r="D17" s="2057"/>
      <c r="E17" s="317"/>
      <c r="F17" s="397"/>
      <c r="G17" s="879"/>
    </row>
    <row r="18" spans="2:7" ht="14.25">
      <c r="B18" s="325"/>
      <c r="C18" s="333" t="s">
        <v>1562</v>
      </c>
      <c r="D18" s="2057"/>
      <c r="E18" s="317"/>
      <c r="F18" s="397">
        <f>Лист3!L62</f>
        <v>0.0648</v>
      </c>
      <c r="G18" s="879">
        <f>Лист3!Q62</f>
        <v>0.05319855072463768</v>
      </c>
    </row>
    <row r="19" spans="2:7" ht="14.25">
      <c r="B19" s="324" t="s">
        <v>1523</v>
      </c>
      <c r="C19" s="332" t="s">
        <v>1563</v>
      </c>
      <c r="D19" s="2057"/>
      <c r="E19" s="317"/>
      <c r="F19" s="397">
        <f>Лист3!M62</f>
        <v>0.0727</v>
      </c>
      <c r="G19" s="879">
        <f>Лист3!R62</f>
        <v>0.010850668425154366</v>
      </c>
    </row>
    <row r="20" spans="2:8" ht="14.25">
      <c r="B20" s="324" t="s">
        <v>1355</v>
      </c>
      <c r="C20" s="332" t="s">
        <v>1524</v>
      </c>
      <c r="D20" s="2057" t="s">
        <v>1516</v>
      </c>
      <c r="E20" s="314"/>
      <c r="F20" s="398">
        <f>F21+F23+F24+F25</f>
        <v>25.080000000000002</v>
      </c>
      <c r="G20" s="477">
        <f>G21+G23+G24+G25</f>
        <v>26.110000000000003</v>
      </c>
      <c r="H20" s="161"/>
    </row>
    <row r="21" spans="2:8" ht="14.25">
      <c r="B21" s="324" t="s">
        <v>133</v>
      </c>
      <c r="C21" s="332" t="s">
        <v>1560</v>
      </c>
      <c r="D21" s="2057"/>
      <c r="E21" s="314"/>
      <c r="F21" s="396"/>
      <c r="G21" s="828"/>
      <c r="H21" s="161"/>
    </row>
    <row r="22" spans="2:8" ht="14.25">
      <c r="B22" s="324" t="s">
        <v>134</v>
      </c>
      <c r="C22" s="332" t="s">
        <v>1517</v>
      </c>
      <c r="D22" s="2057"/>
      <c r="E22" s="318"/>
      <c r="F22" s="396"/>
      <c r="G22" s="880"/>
      <c r="H22" s="161"/>
    </row>
    <row r="23" spans="2:8" ht="14.25">
      <c r="B23" s="325"/>
      <c r="C23" s="332" t="s">
        <v>1518</v>
      </c>
      <c r="D23" s="2057"/>
      <c r="E23" s="314"/>
      <c r="F23" s="396"/>
      <c r="G23" s="828"/>
      <c r="H23" s="161"/>
    </row>
    <row r="24" spans="2:8" ht="14.25">
      <c r="B24" s="325"/>
      <c r="C24" s="333" t="s">
        <v>1562</v>
      </c>
      <c r="D24" s="2057"/>
      <c r="E24" s="314"/>
      <c r="F24" s="396">
        <v>23.1</v>
      </c>
      <c r="G24" s="828">
        <f>Лист3!G140</f>
        <v>25.803000000000004</v>
      </c>
      <c r="H24" s="161"/>
    </row>
    <row r="25" spans="2:8" ht="14.25">
      <c r="B25" s="324" t="s">
        <v>1525</v>
      </c>
      <c r="C25" s="332" t="s">
        <v>1563</v>
      </c>
      <c r="D25" s="2057"/>
      <c r="E25" s="314"/>
      <c r="F25" s="396">
        <v>1.98</v>
      </c>
      <c r="G25" s="828">
        <f>Лист3!H140</f>
        <v>0.307</v>
      </c>
      <c r="H25" s="161"/>
    </row>
    <row r="26" spans="2:9" ht="15">
      <c r="B26" s="326" t="s">
        <v>1356</v>
      </c>
      <c r="C26" s="334" t="s">
        <v>1526</v>
      </c>
      <c r="D26" s="2057" t="s">
        <v>1527</v>
      </c>
      <c r="E26" s="319"/>
      <c r="F26" s="399">
        <v>2863</v>
      </c>
      <c r="G26" s="828"/>
      <c r="H26" s="163"/>
      <c r="I26" s="162"/>
    </row>
    <row r="27" spans="2:9" ht="14.25">
      <c r="B27" s="324" t="s">
        <v>1528</v>
      </c>
      <c r="C27" s="332" t="s">
        <v>1560</v>
      </c>
      <c r="D27" s="1996"/>
      <c r="E27" s="320"/>
      <c r="F27" s="827"/>
      <c r="G27" s="828"/>
      <c r="I27" s="162"/>
    </row>
    <row r="28" spans="2:9" ht="15">
      <c r="B28" s="324" t="s">
        <v>1529</v>
      </c>
      <c r="C28" s="332" t="s">
        <v>1517</v>
      </c>
      <c r="D28" s="1996"/>
      <c r="E28" s="320"/>
      <c r="F28" s="399"/>
      <c r="G28" s="828"/>
      <c r="I28" s="162"/>
    </row>
    <row r="29" spans="2:9" ht="14.25">
      <c r="B29" s="325"/>
      <c r="C29" s="332" t="s">
        <v>1518</v>
      </c>
      <c r="D29" s="1996"/>
      <c r="E29" s="320"/>
      <c r="F29" s="827"/>
      <c r="G29" s="828"/>
      <c r="I29" s="162"/>
    </row>
    <row r="30" spans="2:9" ht="12.75">
      <c r="B30" s="327"/>
      <c r="C30" s="335" t="s">
        <v>1530</v>
      </c>
      <c r="D30" s="1996"/>
      <c r="E30" s="315"/>
      <c r="F30" s="828">
        <v>2827.1</v>
      </c>
      <c r="G30" s="828">
        <f>G7*G12*G18+G42</f>
        <v>1469.74828</v>
      </c>
      <c r="I30" s="162"/>
    </row>
    <row r="31" spans="2:9" ht="14.25">
      <c r="B31" s="328" t="s">
        <v>1531</v>
      </c>
      <c r="C31" s="335" t="s">
        <v>1563</v>
      </c>
      <c r="D31" s="1996"/>
      <c r="E31" s="320"/>
      <c r="F31" s="827">
        <v>35.9</v>
      </c>
      <c r="G31" s="828">
        <f>G7*G13*G19+G45</f>
        <v>40.23019510235055</v>
      </c>
      <c r="I31" s="162"/>
    </row>
    <row r="32" spans="2:9" ht="37.5" customHeight="1">
      <c r="B32" s="328">
        <v>6</v>
      </c>
      <c r="C32" s="336" t="s">
        <v>1538</v>
      </c>
      <c r="D32" s="2057" t="s">
        <v>1539</v>
      </c>
      <c r="E32" s="476"/>
      <c r="F32" s="828">
        <f>F53/F20</f>
        <v>93.36226685750877</v>
      </c>
      <c r="G32" s="828">
        <f>G53/G20</f>
        <v>57.123324396782834</v>
      </c>
      <c r="I32" s="478"/>
    </row>
    <row r="33" spans="2:12" ht="15.75">
      <c r="B33" s="328" t="s">
        <v>1540</v>
      </c>
      <c r="C33" s="332" t="s">
        <v>1560</v>
      </c>
      <c r="D33" s="2057"/>
      <c r="E33" s="314"/>
      <c r="F33" s="829"/>
      <c r="G33" s="314"/>
      <c r="I33" s="706"/>
      <c r="J33" s="707"/>
      <c r="K33" s="707"/>
      <c r="L33" s="356"/>
    </row>
    <row r="34" spans="2:12" ht="15.75">
      <c r="B34" s="328" t="s">
        <v>1540</v>
      </c>
      <c r="C34" s="332" t="s">
        <v>1517</v>
      </c>
      <c r="D34" s="2057"/>
      <c r="E34" s="314"/>
      <c r="F34" s="830"/>
      <c r="G34" s="315"/>
      <c r="I34" s="706"/>
      <c r="J34" s="707"/>
      <c r="K34" s="707"/>
      <c r="L34" s="356"/>
    </row>
    <row r="35" spans="2:12" ht="15.75">
      <c r="B35" s="328"/>
      <c r="C35" s="332" t="s">
        <v>1518</v>
      </c>
      <c r="D35" s="2057"/>
      <c r="E35" s="314"/>
      <c r="F35" s="829"/>
      <c r="G35" s="314"/>
      <c r="I35" s="706"/>
      <c r="J35" s="707"/>
      <c r="K35" s="707"/>
      <c r="L35" s="356"/>
    </row>
    <row r="36" spans="2:12" ht="15.75">
      <c r="B36" s="327"/>
      <c r="C36" s="333" t="s">
        <v>1562</v>
      </c>
      <c r="D36" s="2057"/>
      <c r="E36" s="314"/>
      <c r="F36" s="830">
        <v>122.317</v>
      </c>
      <c r="G36" s="315">
        <f>IF(G12=0,0,G30/(G12*(1-G18)))</f>
        <v>56.24384005339105</v>
      </c>
      <c r="I36" s="706"/>
      <c r="J36" s="707"/>
      <c r="K36" s="707"/>
      <c r="L36" s="356"/>
    </row>
    <row r="37" spans="2:12" ht="16.5" thickBot="1">
      <c r="B37" s="329" t="s">
        <v>1541</v>
      </c>
      <c r="C37" s="337" t="s">
        <v>1563</v>
      </c>
      <c r="D37" s="2058"/>
      <c r="E37" s="321"/>
      <c r="F37" s="321">
        <v>18.15</v>
      </c>
      <c r="G37" s="321">
        <f>IF(G13=0,0,G31/(G13*(1-G19)))</f>
        <v>20.318280354722496</v>
      </c>
      <c r="I37" s="706"/>
      <c r="J37" s="707"/>
      <c r="K37" s="707"/>
      <c r="L37" s="356"/>
    </row>
    <row r="38" ht="12.75">
      <c r="G38" s="313"/>
    </row>
    <row r="39" spans="2:7" ht="13.5" thickBot="1">
      <c r="B39" s="129"/>
      <c r="G39" s="313"/>
    </row>
    <row r="40" spans="3:8" ht="38.25">
      <c r="C40" s="347" t="s">
        <v>2329</v>
      </c>
      <c r="D40" s="350" t="s">
        <v>1527</v>
      </c>
      <c r="E40" s="352">
        <f>E41+E42+E45</f>
        <v>0</v>
      </c>
      <c r="F40" s="340">
        <f>F41+F42+F45</f>
        <v>1.5772999999999229</v>
      </c>
      <c r="G40" s="341">
        <f>G41+G42+G45</f>
        <v>18.48847510235055</v>
      </c>
      <c r="H40" s="159"/>
    </row>
    <row r="41" spans="3:7" ht="12.75">
      <c r="C41" s="348" t="s">
        <v>191</v>
      </c>
      <c r="E41" s="709">
        <f>IF(Лист3!F51+Лист3!G53-Лист3!F56-Лист3!F57-Лист3!F58-Лист3!G56-Лист3!G57-Лист3!G58=0,0,(E27-(E33*E21))*((Лист3!F51-Лист3!F56-Лист3!F57-Лист3!F58)/(Лист3!F51+Лист3!G53-Лист3!F56-Лист3!F57-Лист3!F58-Лист3!G56-Лист3!G57-Лист3!G58)))</f>
        <v>0</v>
      </c>
      <c r="F41" s="338">
        <f>IF(Лист3!K51+Лист3!L53-Лист3!K56-Лист3!K57-Лист3!K58-Лист3!L56-Лист3!L57-Лист3!L58=0,0,(F27-(F33*F21))*((Лист3!K51-Лист3!K56-Лист3!K57-Лист3!K58)/(Лист3!K51+Лист3!L53-Лист3!K56-Лист3!K57-Лист3!K58-Лист3!L56-Лист3!L57-Лист3!L58)))</f>
        <v>0</v>
      </c>
      <c r="G41" s="708">
        <f>IF(Лист3!P51+Лист3!Q53-Лист3!P56-Лист3!P57-Лист3!P58-Лист3!Q56-Лист3!Q57-Лист3!Q58=0,0,(G27-(G33*G21))*((Лист3!P51-Лист3!P56-Лист3!P57-Лист3!P58)/(Лист3!P51+Лист3!Q53-Лист3!P56-Лист3!P57-Лист3!P58-Лист3!Q56-Лист3!Q57-Лист3!Q58)))</f>
        <v>0</v>
      </c>
    </row>
    <row r="42" spans="3:7" ht="12.75">
      <c r="C42" s="348" t="s">
        <v>2342</v>
      </c>
      <c r="E42" s="353">
        <f>E43+E44</f>
        <v>0</v>
      </c>
      <c r="F42" s="338">
        <f>F43+F44</f>
        <v>0</v>
      </c>
      <c r="G42" s="342">
        <f>G43+G44</f>
        <v>0</v>
      </c>
    </row>
    <row r="43" spans="3:7" ht="12.75">
      <c r="C43" s="348" t="s">
        <v>2343</v>
      </c>
      <c r="E43" s="353">
        <f>(E27-E33*E21)-E41</f>
        <v>0</v>
      </c>
      <c r="F43" s="338">
        <f>(F27-F33*F21)-F41</f>
        <v>0</v>
      </c>
      <c r="G43" s="342">
        <f>(G27-G33*G21)-G41</f>
        <v>0</v>
      </c>
    </row>
    <row r="44" spans="3:9" ht="12.75">
      <c r="C44" s="348" t="s">
        <v>2344</v>
      </c>
      <c r="E44" s="353">
        <f aca="true" t="shared" si="0" ref="E44:G45">E29-(E35*E23)</f>
        <v>0</v>
      </c>
      <c r="F44" s="338">
        <f t="shared" si="0"/>
        <v>0</v>
      </c>
      <c r="G44" s="342">
        <f t="shared" si="0"/>
        <v>0</v>
      </c>
      <c r="I44" s="158"/>
    </row>
    <row r="45" spans="3:7" ht="13.5" thickBot="1">
      <c r="C45" s="349" t="s">
        <v>2330</v>
      </c>
      <c r="D45" s="351"/>
      <c r="E45" s="354">
        <f t="shared" si="0"/>
        <v>0</v>
      </c>
      <c r="F45" s="343">
        <f t="shared" si="0"/>
        <v>1.5772999999999229</v>
      </c>
      <c r="G45" s="344">
        <f t="shared" si="0"/>
        <v>18.48847510235055</v>
      </c>
    </row>
    <row r="46" spans="3:7" ht="13.5" thickBot="1">
      <c r="C46" s="339"/>
      <c r="E46" s="246"/>
      <c r="F46" s="246"/>
      <c r="G46" s="246"/>
    </row>
    <row r="47" spans="3:7" ht="38.25">
      <c r="C47" s="400" t="s">
        <v>2570</v>
      </c>
      <c r="D47" s="350" t="s">
        <v>1527</v>
      </c>
      <c r="E47" s="355">
        <f>E7*Лист3!D59</f>
        <v>1208.3033</v>
      </c>
      <c r="F47" s="345">
        <f>F7*Лист3!I59</f>
        <v>2341.52565278632</v>
      </c>
      <c r="G47" s="346">
        <f>G7*Лист3!N59</f>
        <v>1491.49</v>
      </c>
    </row>
    <row r="48" spans="3:7" ht="12.75">
      <c r="C48" s="348" t="s">
        <v>2331</v>
      </c>
      <c r="E48" s="401">
        <f>E33*E21</f>
        <v>0</v>
      </c>
      <c r="F48" s="402">
        <f>F33*F21</f>
        <v>0</v>
      </c>
      <c r="G48" s="403">
        <f>G33*G21</f>
        <v>0</v>
      </c>
    </row>
    <row r="49" spans="3:7" ht="12.75">
      <c r="C49" s="348" t="s">
        <v>2332</v>
      </c>
      <c r="E49" s="401">
        <f aca="true" t="shared" si="1" ref="E49:G51">E35*E23</f>
        <v>0</v>
      </c>
      <c r="F49" s="402">
        <f t="shared" si="1"/>
        <v>0</v>
      </c>
      <c r="G49" s="403">
        <f t="shared" si="1"/>
        <v>0</v>
      </c>
    </row>
    <row r="50" spans="3:7" ht="12.75">
      <c r="C50" s="348" t="s">
        <v>2333</v>
      </c>
      <c r="E50" s="401">
        <f t="shared" si="1"/>
        <v>0</v>
      </c>
      <c r="F50" s="402">
        <f t="shared" si="1"/>
        <v>2825.5227</v>
      </c>
      <c r="G50" s="403">
        <f t="shared" si="1"/>
        <v>1451.2598048976495</v>
      </c>
    </row>
    <row r="51" spans="3:7" ht="12.75">
      <c r="C51" s="348" t="s">
        <v>1532</v>
      </c>
      <c r="E51" s="401">
        <f t="shared" si="1"/>
        <v>0</v>
      </c>
      <c r="F51" s="402">
        <f t="shared" si="1"/>
        <v>35.937</v>
      </c>
      <c r="G51" s="403">
        <f t="shared" si="1"/>
        <v>6.237712068899806</v>
      </c>
    </row>
    <row r="52" spans="3:7" ht="15.75" thickBot="1">
      <c r="C52" s="349" t="s">
        <v>136</v>
      </c>
      <c r="D52" s="351"/>
      <c r="E52" s="404">
        <f>SUM(E48:E51)</f>
        <v>0</v>
      </c>
      <c r="F52" s="405">
        <f>SUM(F48:F51)</f>
        <v>2861.4597</v>
      </c>
      <c r="G52" s="406">
        <f>SUM(G48:G51)</f>
        <v>1457.4975169665493</v>
      </c>
    </row>
    <row r="53" spans="5:7" ht="12.75">
      <c r="E53" s="246">
        <f>E8*E14*E7</f>
        <v>0</v>
      </c>
      <c r="F53" s="246">
        <f>F8*F14*F7</f>
        <v>2341.5256527863203</v>
      </c>
      <c r="G53" s="246">
        <f>G8*G14*G7</f>
        <v>1491.49</v>
      </c>
    </row>
    <row r="54" ht="12.75">
      <c r="G54" s="159"/>
    </row>
    <row r="55" spans="6:7" ht="12.75">
      <c r="F55" s="246"/>
      <c r="G55" s="159"/>
    </row>
    <row r="56" ht="12.75">
      <c r="G56" s="157"/>
    </row>
  </sheetData>
  <sheetProtection/>
  <mergeCells count="7">
    <mergeCell ref="F3:G4"/>
    <mergeCell ref="B3:E4"/>
    <mergeCell ref="D32:D37"/>
    <mergeCell ref="D20:D25"/>
    <mergeCell ref="D8:D13"/>
    <mergeCell ref="D14:D19"/>
    <mergeCell ref="D26:D31"/>
  </mergeCells>
  <printOptions/>
  <pageMargins left="0.75" right="0.2" top="0.39" bottom="0.35" header="0.24" footer="0.2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J7">
      <selection activeCell="V19" sqref="V19"/>
    </sheetView>
  </sheetViews>
  <sheetFormatPr defaultColWidth="14.125" defaultRowHeight="12.75"/>
  <cols>
    <col min="1" max="1" width="14.125" style="1266" hidden="1" customWidth="1"/>
    <col min="2" max="2" width="14.125" style="1267" hidden="1" customWidth="1"/>
    <col min="3" max="3" width="4.75390625" style="1186" customWidth="1"/>
    <col min="4" max="4" width="7.125" style="1227" customWidth="1"/>
    <col min="5" max="5" width="41.875" style="1228" customWidth="1"/>
    <col min="6" max="6" width="9.875" style="1228" customWidth="1"/>
    <col min="7" max="22" width="10.75390625" style="1228" customWidth="1"/>
    <col min="23" max="23" width="14.125" style="1228" customWidth="1"/>
    <col min="24" max="16384" width="14.125" style="1250" customWidth="1"/>
  </cols>
  <sheetData>
    <row r="1" spans="1:23" s="1226" customFormat="1" ht="12" hidden="1">
      <c r="A1" s="1223" t="s">
        <v>1275</v>
      </c>
      <c r="B1" s="1224">
        <v>0</v>
      </c>
      <c r="C1" s="1174">
        <v>0</v>
      </c>
      <c r="D1" s="1174">
        <v>0</v>
      </c>
      <c r="E1" s="1175">
        <v>2012</v>
      </c>
      <c r="F1" s="1176"/>
      <c r="G1" s="1225" t="s">
        <v>1276</v>
      </c>
      <c r="H1" s="1177" t="s">
        <v>1276</v>
      </c>
      <c r="I1" s="1177" t="s">
        <v>1276</v>
      </c>
      <c r="J1" s="1177" t="s">
        <v>1277</v>
      </c>
      <c r="K1" s="1177" t="s">
        <v>1278</v>
      </c>
      <c r="L1" s="1177" t="s">
        <v>1279</v>
      </c>
      <c r="M1" s="1177" t="s">
        <v>1280</v>
      </c>
      <c r="N1" s="1177" t="s">
        <v>1281</v>
      </c>
      <c r="O1" s="1177" t="s">
        <v>1282</v>
      </c>
      <c r="P1" s="1177" t="s">
        <v>1283</v>
      </c>
      <c r="Q1" s="1177" t="s">
        <v>1284</v>
      </c>
      <c r="R1" s="1177" t="s">
        <v>1285</v>
      </c>
      <c r="S1" s="1177" t="s">
        <v>1286</v>
      </c>
      <c r="T1" s="1177" t="s">
        <v>1287</v>
      </c>
      <c r="U1" s="1177" t="s">
        <v>1288</v>
      </c>
      <c r="V1" s="1177" t="s">
        <v>1276</v>
      </c>
      <c r="W1" s="1176"/>
    </row>
    <row r="2" spans="1:22" s="1179" customFormat="1" ht="11.25" hidden="1">
      <c r="A2" s="1178"/>
      <c r="D2" s="1180"/>
      <c r="G2" s="1181">
        <f>$E$1-2</f>
        <v>2010</v>
      </c>
      <c r="H2" s="1181">
        <f>$E$1-2</f>
        <v>2010</v>
      </c>
      <c r="I2" s="1181">
        <f>$E$1-1</f>
        <v>2011</v>
      </c>
      <c r="J2" s="1181">
        <f aca="true" t="shared" si="0" ref="J2:V2">$E$1</f>
        <v>2012</v>
      </c>
      <c r="K2" s="1181">
        <f t="shared" si="0"/>
        <v>2012</v>
      </c>
      <c r="L2" s="1181">
        <f t="shared" si="0"/>
        <v>2012</v>
      </c>
      <c r="M2" s="1181">
        <f t="shared" si="0"/>
        <v>2012</v>
      </c>
      <c r="N2" s="1181">
        <f t="shared" si="0"/>
        <v>2012</v>
      </c>
      <c r="O2" s="1181">
        <f t="shared" si="0"/>
        <v>2012</v>
      </c>
      <c r="P2" s="1181">
        <f t="shared" si="0"/>
        <v>2012</v>
      </c>
      <c r="Q2" s="1181">
        <f t="shared" si="0"/>
        <v>2012</v>
      </c>
      <c r="R2" s="1181">
        <f t="shared" si="0"/>
        <v>2012</v>
      </c>
      <c r="S2" s="1181">
        <f t="shared" si="0"/>
        <v>2012</v>
      </c>
      <c r="T2" s="1181">
        <f t="shared" si="0"/>
        <v>2012</v>
      </c>
      <c r="U2" s="1181">
        <f t="shared" si="0"/>
        <v>2012</v>
      </c>
      <c r="V2" s="1181">
        <f t="shared" si="0"/>
        <v>2012</v>
      </c>
    </row>
    <row r="3" spans="1:22" s="1177" customFormat="1" ht="11.25" hidden="1">
      <c r="A3" s="1182"/>
      <c r="D3" s="1183"/>
      <c r="G3" s="1177" t="s">
        <v>1289</v>
      </c>
      <c r="H3" s="1177" t="s">
        <v>1290</v>
      </c>
      <c r="I3" s="1177" t="s">
        <v>1289</v>
      </c>
      <c r="J3" s="1177" t="s">
        <v>1289</v>
      </c>
      <c r="K3" s="1177" t="s">
        <v>1289</v>
      </c>
      <c r="L3" s="1177" t="s">
        <v>1289</v>
      </c>
      <c r="M3" s="1177" t="s">
        <v>1289</v>
      </c>
      <c r="N3" s="1177" t="s">
        <v>1289</v>
      </c>
      <c r="O3" s="1177" t="s">
        <v>1289</v>
      </c>
      <c r="P3" s="1177" t="s">
        <v>1289</v>
      </c>
      <c r="Q3" s="1177" t="s">
        <v>1289</v>
      </c>
      <c r="R3" s="1177" t="s">
        <v>1289</v>
      </c>
      <c r="S3" s="1177" t="s">
        <v>1289</v>
      </c>
      <c r="T3" s="1177" t="s">
        <v>1289</v>
      </c>
      <c r="U3" s="1177" t="s">
        <v>1289</v>
      </c>
      <c r="V3" s="1177" t="s">
        <v>1289</v>
      </c>
    </row>
    <row r="4" spans="1:4" s="1228" customFormat="1" ht="11.25" hidden="1">
      <c r="A4" s="1184"/>
      <c r="B4" s="1185"/>
      <c r="C4" s="1186"/>
      <c r="D4" s="1227"/>
    </row>
    <row r="5" spans="1:4" s="1228" customFormat="1" ht="11.25" hidden="1">
      <c r="A5" s="1184"/>
      <c r="B5" s="1185"/>
      <c r="C5" s="1186"/>
      <c r="D5" s="1227"/>
    </row>
    <row r="6" spans="1:4" s="1228" customFormat="1" ht="11.25" hidden="1">
      <c r="A6" s="1187"/>
      <c r="B6" s="1185"/>
      <c r="C6" s="1186"/>
      <c r="D6" s="1227"/>
    </row>
    <row r="7" spans="1:4" s="1192" customFormat="1" ht="11.25">
      <c r="A7" s="1188"/>
      <c r="B7" s="1189"/>
      <c r="C7" s="1190"/>
      <c r="D7" s="1191"/>
    </row>
    <row r="8" spans="1:22" s="1192" customFormat="1" ht="11.25">
      <c r="A8" s="1188"/>
      <c r="B8" s="1189"/>
      <c r="C8" s="1190"/>
      <c r="D8" s="1191"/>
      <c r="V8" s="1193" t="s">
        <v>1291</v>
      </c>
    </row>
    <row r="9" spans="1:23" s="1228" customFormat="1" ht="29.25" customHeight="1" thickBot="1">
      <c r="A9" s="1187"/>
      <c r="B9" s="1185"/>
      <c r="C9" s="1229"/>
      <c r="D9" s="1761" t="s">
        <v>663</v>
      </c>
      <c r="E9" s="1762"/>
      <c r="F9" s="1762"/>
      <c r="G9" s="1762"/>
      <c r="H9" s="1762"/>
      <c r="I9" s="1762"/>
      <c r="J9" s="1762"/>
      <c r="K9" s="1762"/>
      <c r="L9" s="1762"/>
      <c r="M9" s="1762"/>
      <c r="N9" s="1762"/>
      <c r="O9" s="1762"/>
      <c r="P9" s="1762"/>
      <c r="Q9" s="1762"/>
      <c r="R9" s="1762"/>
      <c r="S9" s="1762"/>
      <c r="T9" s="1762"/>
      <c r="U9" s="1762"/>
      <c r="V9" s="1763"/>
      <c r="W9" s="1230"/>
    </row>
    <row r="10" spans="1:22" s="1231" customFormat="1" ht="17.25" customHeight="1">
      <c r="A10" s="1194"/>
      <c r="B10" s="1195"/>
      <c r="C10" s="1196"/>
      <c r="D10" s="1197"/>
      <c r="E10" s="1197"/>
      <c r="F10" s="1197"/>
      <c r="G10" s="1197"/>
      <c r="H10" s="1197"/>
      <c r="I10" s="1197"/>
      <c r="J10" s="1197"/>
      <c r="K10" s="1197"/>
      <c r="L10" s="1197"/>
      <c r="M10" s="1197"/>
      <c r="N10" s="1197"/>
      <c r="O10" s="1197"/>
      <c r="P10" s="1197"/>
      <c r="Q10" s="1197"/>
      <c r="R10" s="1197"/>
      <c r="S10" s="1197"/>
      <c r="T10" s="1197"/>
      <c r="U10" s="1197"/>
      <c r="V10" s="1197"/>
    </row>
    <row r="11" spans="1:22" s="1228" customFormat="1" ht="52.5" customHeight="1" thickBot="1">
      <c r="A11" s="1187"/>
      <c r="B11" s="1185"/>
      <c r="C11" s="1186"/>
      <c r="D11" s="1232" t="s">
        <v>1292</v>
      </c>
      <c r="E11" s="1233" t="s">
        <v>2533</v>
      </c>
      <c r="F11" s="1234" t="s">
        <v>1559</v>
      </c>
      <c r="G11" s="1235" t="s">
        <v>1393</v>
      </c>
      <c r="H11" s="1235" t="s">
        <v>361</v>
      </c>
      <c r="I11" s="1235" t="s">
        <v>1394</v>
      </c>
      <c r="J11" s="1235" t="s">
        <v>362</v>
      </c>
      <c r="K11" s="1235" t="s">
        <v>363</v>
      </c>
      <c r="L11" s="1235" t="s">
        <v>364</v>
      </c>
      <c r="M11" s="1235" t="s">
        <v>365</v>
      </c>
      <c r="N11" s="1235" t="s">
        <v>366</v>
      </c>
      <c r="O11" s="1235" t="s">
        <v>367</v>
      </c>
      <c r="P11" s="1235" t="s">
        <v>368</v>
      </c>
      <c r="Q11" s="1235" t="s">
        <v>369</v>
      </c>
      <c r="R11" s="1235" t="s">
        <v>370</v>
      </c>
      <c r="S11" s="1235" t="s">
        <v>371</v>
      </c>
      <c r="T11" s="1235" t="s">
        <v>372</v>
      </c>
      <c r="U11" s="1235" t="s">
        <v>373</v>
      </c>
      <c r="V11" s="1236" t="s">
        <v>374</v>
      </c>
    </row>
    <row r="12" spans="1:22" s="1228" customFormat="1" ht="11.25">
      <c r="A12" s="1187"/>
      <c r="B12" s="1185"/>
      <c r="C12" s="1186"/>
      <c r="D12" s="1237">
        <v>1</v>
      </c>
      <c r="E12" s="1237">
        <v>2</v>
      </c>
      <c r="F12" s="1237">
        <v>3</v>
      </c>
      <c r="G12" s="1237">
        <v>4</v>
      </c>
      <c r="H12" s="1237">
        <v>5</v>
      </c>
      <c r="I12" s="1237">
        <v>6</v>
      </c>
      <c r="J12" s="1237">
        <v>7</v>
      </c>
      <c r="K12" s="1237">
        <v>8</v>
      </c>
      <c r="L12" s="1237">
        <v>9</v>
      </c>
      <c r="M12" s="1237">
        <v>10</v>
      </c>
      <c r="N12" s="1237">
        <v>11</v>
      </c>
      <c r="O12" s="1237">
        <v>12</v>
      </c>
      <c r="P12" s="1237">
        <v>13</v>
      </c>
      <c r="Q12" s="1237">
        <v>14</v>
      </c>
      <c r="R12" s="1237">
        <v>15</v>
      </c>
      <c r="S12" s="1237">
        <v>16</v>
      </c>
      <c r="T12" s="1237">
        <v>17</v>
      </c>
      <c r="U12" s="1237">
        <v>18</v>
      </c>
      <c r="V12" s="1237">
        <v>19</v>
      </c>
    </row>
    <row r="13" spans="1:22" s="1228" customFormat="1" ht="11.25">
      <c r="A13" s="1187"/>
      <c r="B13" s="1185"/>
      <c r="C13" s="1186"/>
      <c r="D13" s="1238"/>
      <c r="E13" s="1239" t="s">
        <v>279</v>
      </c>
      <c r="F13" s="1240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2"/>
    </row>
    <row r="14" spans="1:22" s="1228" customFormat="1" ht="11.25">
      <c r="A14" s="1187" t="s">
        <v>1293</v>
      </c>
      <c r="B14" s="1185" t="s">
        <v>1294</v>
      </c>
      <c r="C14" s="1186"/>
      <c r="D14" s="1243">
        <v>1</v>
      </c>
      <c r="E14" s="1244" t="s">
        <v>1295</v>
      </c>
      <c r="F14" s="1243" t="s">
        <v>1296</v>
      </c>
      <c r="G14" s="1245">
        <v>27.67</v>
      </c>
      <c r="H14" s="1245">
        <v>18.92</v>
      </c>
      <c r="I14" s="1245">
        <v>27.67</v>
      </c>
      <c r="J14" s="1245">
        <v>2.2</v>
      </c>
      <c r="K14" s="1245">
        <v>2.16</v>
      </c>
      <c r="L14" s="1245">
        <v>2.1</v>
      </c>
      <c r="M14" s="1245">
        <v>2.2</v>
      </c>
      <c r="N14" s="1245">
        <v>2.1</v>
      </c>
      <c r="O14" s="1245">
        <v>2.2</v>
      </c>
      <c r="P14" s="1245">
        <v>2.4</v>
      </c>
      <c r="Q14" s="1245">
        <v>2.78</v>
      </c>
      <c r="R14" s="1245">
        <v>2.4</v>
      </c>
      <c r="S14" s="1245">
        <v>2.5</v>
      </c>
      <c r="T14" s="1245">
        <v>2.31</v>
      </c>
      <c r="U14" s="1245">
        <v>2.3</v>
      </c>
      <c r="V14" s="1246">
        <v>27.65</v>
      </c>
    </row>
    <row r="15" spans="1:22" s="1228" customFormat="1" ht="22.5">
      <c r="A15" s="1187" t="s">
        <v>1297</v>
      </c>
      <c r="B15" s="1185" t="s">
        <v>1298</v>
      </c>
      <c r="C15" s="1186"/>
      <c r="D15" s="1243">
        <v>2</v>
      </c>
      <c r="E15" s="1244" t="s">
        <v>1299</v>
      </c>
      <c r="F15" s="1243" t="s">
        <v>1296</v>
      </c>
      <c r="G15" s="1247">
        <v>1.54</v>
      </c>
      <c r="H15" s="1247">
        <v>1.46</v>
      </c>
      <c r="I15" s="1247">
        <v>1.54</v>
      </c>
      <c r="J15" s="1247">
        <v>0.12235619</v>
      </c>
      <c r="K15" s="1247">
        <v>0.12013153200000001</v>
      </c>
      <c r="L15" s="1247">
        <v>0.116794545</v>
      </c>
      <c r="M15" s="1247">
        <v>0.12235619000000002</v>
      </c>
      <c r="N15" s="1247">
        <v>0.116794545</v>
      </c>
      <c r="O15" s="1247">
        <v>0.12235619</v>
      </c>
      <c r="P15" s="1247">
        <v>0.13347948</v>
      </c>
      <c r="Q15" s="1247">
        <v>0.154613731</v>
      </c>
      <c r="R15" s="1247">
        <v>0.13347948</v>
      </c>
      <c r="S15" s="1247">
        <v>0.139041125</v>
      </c>
      <c r="T15" s="1247">
        <v>0.12847399950000002</v>
      </c>
      <c r="U15" s="1247">
        <v>0.127917835</v>
      </c>
      <c r="V15" s="1246">
        <v>1.5377948425000003</v>
      </c>
    </row>
    <row r="16" spans="1:22" s="1228" customFormat="1" ht="11.25">
      <c r="A16" s="1187" t="s">
        <v>1300</v>
      </c>
      <c r="B16" s="1185" t="s">
        <v>1301</v>
      </c>
      <c r="C16" s="1186"/>
      <c r="D16" s="1243" t="s">
        <v>1267</v>
      </c>
      <c r="E16" s="1248" t="s">
        <v>1301</v>
      </c>
      <c r="F16" s="1243" t="s">
        <v>1296</v>
      </c>
      <c r="G16" s="1249">
        <v>0.925</v>
      </c>
      <c r="H16" s="1249">
        <v>0.845</v>
      </c>
      <c r="I16" s="1249">
        <v>0.92</v>
      </c>
      <c r="J16" s="1249">
        <v>0.07126788902912623</v>
      </c>
      <c r="K16" s="1249">
        <v>0.06904323102912624</v>
      </c>
      <c r="L16" s="1249">
        <v>0.06570624402912623</v>
      </c>
      <c r="M16" s="1249">
        <v>0.06826269485436895</v>
      </c>
      <c r="N16" s="1249">
        <v>0.06570624402912623</v>
      </c>
      <c r="O16" s="1249">
        <v>0.07126788902912623</v>
      </c>
      <c r="P16" s="1249">
        <v>0.08539637320388352</v>
      </c>
      <c r="Q16" s="1249">
        <v>0.10052023585436894</v>
      </c>
      <c r="R16" s="1249">
        <v>0.08239117902912624</v>
      </c>
      <c r="S16" s="1249">
        <v>0.08494762985436892</v>
      </c>
      <c r="T16" s="1249">
        <v>0.07438050435436895</v>
      </c>
      <c r="U16" s="1249">
        <v>0.07983472820388351</v>
      </c>
      <c r="V16" s="1246">
        <v>0.9187248425000002</v>
      </c>
    </row>
    <row r="17" spans="1:22" ht="22.5">
      <c r="A17" s="1187" t="s">
        <v>1302</v>
      </c>
      <c r="B17" s="1185" t="s">
        <v>1303</v>
      </c>
      <c r="D17" s="1243" t="s">
        <v>1268</v>
      </c>
      <c r="E17" s="1248" t="s">
        <v>1303</v>
      </c>
      <c r="F17" s="1243" t="s">
        <v>1296</v>
      </c>
      <c r="G17" s="1249">
        <v>0.615</v>
      </c>
      <c r="H17" s="1249">
        <v>0.615</v>
      </c>
      <c r="I17" s="1249">
        <v>0.62</v>
      </c>
      <c r="J17" s="1249">
        <v>0.05108830097087378</v>
      </c>
      <c r="K17" s="1249">
        <v>0.05108830097087378</v>
      </c>
      <c r="L17" s="1249">
        <v>0.05108830097087378</v>
      </c>
      <c r="M17" s="1249">
        <v>0.05409349514563107</v>
      </c>
      <c r="N17" s="1249">
        <v>0.05108830097087378</v>
      </c>
      <c r="O17" s="1249">
        <v>0.05108830097087378</v>
      </c>
      <c r="P17" s="1249">
        <v>0.0480831067961165</v>
      </c>
      <c r="Q17" s="1249">
        <v>0.05409349514563107</v>
      </c>
      <c r="R17" s="1249">
        <v>0.05108830097087378</v>
      </c>
      <c r="S17" s="1249">
        <v>0.05409349514563107</v>
      </c>
      <c r="T17" s="1249">
        <v>0.05409349514563107</v>
      </c>
      <c r="U17" s="1249">
        <v>0.0480831067961165</v>
      </c>
      <c r="V17" s="1246">
        <v>0.61907</v>
      </c>
    </row>
    <row r="18" spans="1:22" ht="12">
      <c r="A18" s="1187" t="s">
        <v>1304</v>
      </c>
      <c r="B18" s="1185" t="s">
        <v>1305</v>
      </c>
      <c r="D18" s="1243">
        <v>3</v>
      </c>
      <c r="E18" s="1251" t="s">
        <v>1306</v>
      </c>
      <c r="F18" s="1252" t="s">
        <v>1521</v>
      </c>
      <c r="G18" s="1249">
        <v>5.565594506685941</v>
      </c>
      <c r="H18" s="1249">
        <v>7.716701902748413</v>
      </c>
      <c r="I18" s="1249">
        <v>5.565594506685941</v>
      </c>
      <c r="J18" s="1249">
        <v>5.5616449999999995</v>
      </c>
      <c r="K18" s="1249">
        <v>5.561645</v>
      </c>
      <c r="L18" s="1249">
        <v>5.5616449999999995</v>
      </c>
      <c r="M18" s="1249">
        <v>5.561645</v>
      </c>
      <c r="N18" s="1249">
        <v>5.5616449999999995</v>
      </c>
      <c r="O18" s="1249">
        <v>5.5616449999999995</v>
      </c>
      <c r="P18" s="1249">
        <v>5.561645</v>
      </c>
      <c r="Q18" s="1249">
        <v>5.561645</v>
      </c>
      <c r="R18" s="1249">
        <v>5.561645</v>
      </c>
      <c r="S18" s="1249">
        <v>5.5616449999999995</v>
      </c>
      <c r="T18" s="1249">
        <v>5.561645</v>
      </c>
      <c r="U18" s="1249">
        <v>5.561645</v>
      </c>
      <c r="V18" s="1253">
        <v>5.561645000000001</v>
      </c>
    </row>
    <row r="19" spans="1:22" ht="12">
      <c r="A19" s="1187" t="s">
        <v>1307</v>
      </c>
      <c r="B19" s="1185" t="s">
        <v>1308</v>
      </c>
      <c r="D19" s="1243">
        <v>4</v>
      </c>
      <c r="E19" s="1251" t="s">
        <v>1309</v>
      </c>
      <c r="F19" s="1243" t="s">
        <v>1296</v>
      </c>
      <c r="G19" s="1249">
        <v>26.130000000000003</v>
      </c>
      <c r="H19" s="1249">
        <v>17.46</v>
      </c>
      <c r="I19" s="1249">
        <v>26.130000000000003</v>
      </c>
      <c r="J19" s="1249">
        <v>2.07764381</v>
      </c>
      <c r="K19" s="1249">
        <v>2.0398684680000003</v>
      </c>
      <c r="L19" s="1249">
        <v>1.983205455</v>
      </c>
      <c r="M19" s="1249">
        <v>2.07764381</v>
      </c>
      <c r="N19" s="1249">
        <v>1.983205455</v>
      </c>
      <c r="O19" s="1249">
        <v>2.07764381</v>
      </c>
      <c r="P19" s="1249">
        <v>2.26652052</v>
      </c>
      <c r="Q19" s="1249">
        <v>2.625386269</v>
      </c>
      <c r="R19" s="1249">
        <v>2.26652052</v>
      </c>
      <c r="S19" s="1249">
        <v>2.360958875</v>
      </c>
      <c r="T19" s="1249">
        <v>2.1815260005</v>
      </c>
      <c r="U19" s="1249">
        <v>2.172082165</v>
      </c>
      <c r="V19" s="1246">
        <v>26.1122051575</v>
      </c>
    </row>
    <row r="20" spans="1:22" ht="12">
      <c r="A20" s="1187" t="s">
        <v>1310</v>
      </c>
      <c r="B20" s="1185" t="s">
        <v>1311</v>
      </c>
      <c r="D20" s="1243" t="s">
        <v>160</v>
      </c>
      <c r="E20" s="1254" t="s">
        <v>1311</v>
      </c>
      <c r="F20" s="1243" t="s">
        <v>1296</v>
      </c>
      <c r="G20" s="1249">
        <v>16.05</v>
      </c>
      <c r="H20" s="1249">
        <v>12.332</v>
      </c>
      <c r="I20" s="1249">
        <v>15.83</v>
      </c>
      <c r="J20" s="1249">
        <v>1.22764381</v>
      </c>
      <c r="K20" s="1249">
        <v>1.1898684680000002</v>
      </c>
      <c r="L20" s="1249">
        <v>1.1332054550000001</v>
      </c>
      <c r="M20" s="1249">
        <v>1.1776438100000002</v>
      </c>
      <c r="N20" s="1249">
        <v>1.1332054550000001</v>
      </c>
      <c r="O20" s="1249">
        <v>1.22764381</v>
      </c>
      <c r="P20" s="1249">
        <v>1.4665205199999998</v>
      </c>
      <c r="Q20" s="1249">
        <v>1.725386269</v>
      </c>
      <c r="R20" s="1249">
        <v>1.4165205199999997</v>
      </c>
      <c r="S20" s="1249">
        <v>1.4609588750000002</v>
      </c>
      <c r="T20" s="1249">
        <v>1.2815260005</v>
      </c>
      <c r="U20" s="1249">
        <v>1.372082165</v>
      </c>
      <c r="V20" s="1246">
        <v>15.8122051575</v>
      </c>
    </row>
    <row r="21" spans="1:22" ht="22.5">
      <c r="A21" s="1187" t="s">
        <v>1312</v>
      </c>
      <c r="B21" s="1185" t="s">
        <v>1313</v>
      </c>
      <c r="D21" s="1243" t="s">
        <v>539</v>
      </c>
      <c r="E21" s="1254" t="s">
        <v>1313</v>
      </c>
      <c r="F21" s="1243" t="s">
        <v>1296</v>
      </c>
      <c r="G21" s="1249">
        <v>10.07</v>
      </c>
      <c r="H21" s="1249">
        <v>5.13</v>
      </c>
      <c r="I21" s="1249">
        <v>10.3</v>
      </c>
      <c r="J21" s="1249">
        <v>0.85</v>
      </c>
      <c r="K21" s="1249">
        <v>0.85</v>
      </c>
      <c r="L21" s="1249">
        <v>0.85</v>
      </c>
      <c r="M21" s="1249">
        <v>0.9</v>
      </c>
      <c r="N21" s="1249">
        <v>0.85</v>
      </c>
      <c r="O21" s="1249">
        <v>0.85</v>
      </c>
      <c r="P21" s="1249">
        <v>0.8</v>
      </c>
      <c r="Q21" s="1249">
        <v>0.9</v>
      </c>
      <c r="R21" s="1249">
        <v>0.85</v>
      </c>
      <c r="S21" s="1249">
        <v>0.9</v>
      </c>
      <c r="T21" s="1249">
        <v>0.9</v>
      </c>
      <c r="U21" s="1249">
        <v>0.8</v>
      </c>
      <c r="V21" s="1246">
        <v>10.3</v>
      </c>
    </row>
    <row r="22" spans="1:22" ht="12">
      <c r="A22" s="1187"/>
      <c r="B22" s="1185"/>
      <c r="D22" s="1238"/>
      <c r="E22" s="1239" t="s">
        <v>1314</v>
      </c>
      <c r="F22" s="1255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2"/>
    </row>
    <row r="23" spans="1:22" ht="12">
      <c r="A23" s="1187" t="s">
        <v>1315</v>
      </c>
      <c r="B23" s="1185" t="s">
        <v>1294</v>
      </c>
      <c r="D23" s="1243" t="s">
        <v>1316</v>
      </c>
      <c r="E23" s="1244" t="s">
        <v>1295</v>
      </c>
      <c r="F23" s="1243" t="s">
        <v>157</v>
      </c>
      <c r="G23" s="1245">
        <v>7</v>
      </c>
      <c r="H23" s="1245">
        <v>7</v>
      </c>
      <c r="I23" s="1245">
        <v>7</v>
      </c>
      <c r="J23" s="1245">
        <v>7</v>
      </c>
      <c r="K23" s="1245">
        <v>7</v>
      </c>
      <c r="L23" s="1245">
        <v>7</v>
      </c>
      <c r="M23" s="1245">
        <v>7</v>
      </c>
      <c r="N23" s="1245">
        <v>7</v>
      </c>
      <c r="O23" s="1245">
        <v>7</v>
      </c>
      <c r="P23" s="1245">
        <v>7</v>
      </c>
      <c r="Q23" s="1245">
        <v>7</v>
      </c>
      <c r="R23" s="1245">
        <v>7</v>
      </c>
      <c r="S23" s="1245">
        <v>7</v>
      </c>
      <c r="T23" s="1245">
        <v>7</v>
      </c>
      <c r="U23" s="1245">
        <v>7</v>
      </c>
      <c r="V23" s="1246">
        <v>7</v>
      </c>
    </row>
    <row r="24" spans="1:22" ht="22.5">
      <c r="A24" s="1187" t="s">
        <v>1317</v>
      </c>
      <c r="B24" s="1185" t="s">
        <v>1298</v>
      </c>
      <c r="D24" s="1243" t="s">
        <v>1318</v>
      </c>
      <c r="E24" s="1244" t="s">
        <v>1299</v>
      </c>
      <c r="F24" s="1243" t="s">
        <v>157</v>
      </c>
      <c r="G24" s="1247">
        <v>0.4</v>
      </c>
      <c r="H24" s="1247">
        <v>0.41000000000000003</v>
      </c>
      <c r="I24" s="1247">
        <v>0.4</v>
      </c>
      <c r="J24" s="1247">
        <v>0.41000000000000003</v>
      </c>
      <c r="K24" s="1247">
        <v>0.41000000000000003</v>
      </c>
      <c r="L24" s="1247">
        <v>0.41000000000000003</v>
      </c>
      <c r="M24" s="1247">
        <v>0.41000000000000003</v>
      </c>
      <c r="N24" s="1247">
        <v>0.41000000000000003</v>
      </c>
      <c r="O24" s="1247">
        <v>0.41000000000000003</v>
      </c>
      <c r="P24" s="1247">
        <v>0.41000000000000003</v>
      </c>
      <c r="Q24" s="1247">
        <v>0.37</v>
      </c>
      <c r="R24" s="1247">
        <v>0.41000000000000003</v>
      </c>
      <c r="S24" s="1247">
        <v>0.37</v>
      </c>
      <c r="T24" s="1247">
        <v>0.39</v>
      </c>
      <c r="U24" s="1247">
        <v>0.39</v>
      </c>
      <c r="V24" s="1256">
        <v>0.4</v>
      </c>
    </row>
    <row r="25" spans="1:22" ht="12">
      <c r="A25" s="1187" t="s">
        <v>1319</v>
      </c>
      <c r="B25" s="1185" t="s">
        <v>1301</v>
      </c>
      <c r="D25" s="1243" t="s">
        <v>1540</v>
      </c>
      <c r="E25" s="1248" t="s">
        <v>1301</v>
      </c>
      <c r="F25" s="1243" t="s">
        <v>157</v>
      </c>
      <c r="G25" s="1249">
        <v>0.17</v>
      </c>
      <c r="H25" s="1249">
        <v>0.23</v>
      </c>
      <c r="I25" s="1249">
        <v>0.23</v>
      </c>
      <c r="J25" s="1249">
        <v>0.23</v>
      </c>
      <c r="K25" s="1249">
        <v>0.23</v>
      </c>
      <c r="L25" s="1249">
        <v>0.23</v>
      </c>
      <c r="M25" s="1249">
        <v>0.23</v>
      </c>
      <c r="N25" s="1249">
        <v>0.23</v>
      </c>
      <c r="O25" s="1249">
        <v>0.23</v>
      </c>
      <c r="P25" s="1249">
        <v>0.23</v>
      </c>
      <c r="Q25" s="1249">
        <v>0.25</v>
      </c>
      <c r="R25" s="1249">
        <v>0.23</v>
      </c>
      <c r="S25" s="1249">
        <v>0.25</v>
      </c>
      <c r="T25" s="1249">
        <v>0.2</v>
      </c>
      <c r="U25" s="1249">
        <v>0.2</v>
      </c>
      <c r="V25" s="1246">
        <v>0.2283333333333334</v>
      </c>
    </row>
    <row r="26" spans="1:22" ht="22.5">
      <c r="A26" s="1187" t="s">
        <v>1320</v>
      </c>
      <c r="B26" s="1185" t="s">
        <v>1303</v>
      </c>
      <c r="D26" s="1243" t="s">
        <v>1553</v>
      </c>
      <c r="E26" s="1248" t="s">
        <v>1303</v>
      </c>
      <c r="F26" s="1243" t="s">
        <v>157</v>
      </c>
      <c r="G26" s="1249">
        <v>0.23</v>
      </c>
      <c r="H26" s="1249">
        <v>0.18</v>
      </c>
      <c r="I26" s="1249">
        <v>0.17</v>
      </c>
      <c r="J26" s="1249">
        <v>0.18</v>
      </c>
      <c r="K26" s="1249">
        <v>0.18</v>
      </c>
      <c r="L26" s="1249">
        <v>0.18</v>
      </c>
      <c r="M26" s="1249">
        <v>0.18</v>
      </c>
      <c r="N26" s="1249">
        <v>0.18</v>
      </c>
      <c r="O26" s="1249">
        <v>0.18</v>
      </c>
      <c r="P26" s="1249">
        <v>0.18</v>
      </c>
      <c r="Q26" s="1249">
        <v>0.12</v>
      </c>
      <c r="R26" s="1249">
        <v>0.18</v>
      </c>
      <c r="S26" s="1249">
        <v>0.12</v>
      </c>
      <c r="T26" s="1249">
        <v>0.19</v>
      </c>
      <c r="U26" s="1249">
        <v>0.19</v>
      </c>
      <c r="V26" s="1246">
        <v>0.17166666666666663</v>
      </c>
    </row>
    <row r="27" spans="1:22" ht="12">
      <c r="A27" s="1187" t="s">
        <v>1321</v>
      </c>
      <c r="B27" s="1185" t="s">
        <v>1305</v>
      </c>
      <c r="D27" s="1243" t="s">
        <v>1322</v>
      </c>
      <c r="E27" s="1251" t="s">
        <v>1306</v>
      </c>
      <c r="F27" s="1252" t="s">
        <v>1521</v>
      </c>
      <c r="G27" s="1249">
        <v>5.714285714285714</v>
      </c>
      <c r="H27" s="1249">
        <v>5.857142857142858</v>
      </c>
      <c r="I27" s="1249">
        <v>5.714285714285714</v>
      </c>
      <c r="J27" s="1249">
        <v>5.857142857142858</v>
      </c>
      <c r="K27" s="1249">
        <v>5.857142857142858</v>
      </c>
      <c r="L27" s="1249">
        <v>5.857142857142858</v>
      </c>
      <c r="M27" s="1249">
        <v>5.857142857142858</v>
      </c>
      <c r="N27" s="1249">
        <v>5.857142857142858</v>
      </c>
      <c r="O27" s="1249">
        <v>5.857142857142858</v>
      </c>
      <c r="P27" s="1249">
        <v>5.857142857142858</v>
      </c>
      <c r="Q27" s="1249">
        <v>5.285714285714286</v>
      </c>
      <c r="R27" s="1249">
        <v>5.857142857142858</v>
      </c>
      <c r="S27" s="1249">
        <v>5.285714285714286</v>
      </c>
      <c r="T27" s="1249">
        <v>5.571428571428571</v>
      </c>
      <c r="U27" s="1249">
        <v>5.571428571428571</v>
      </c>
      <c r="V27" s="1253">
        <v>5.714285714285714</v>
      </c>
    </row>
    <row r="28" spans="1:22" ht="12">
      <c r="A28" s="1187" t="s">
        <v>1323</v>
      </c>
      <c r="B28" s="1185" t="s">
        <v>1308</v>
      </c>
      <c r="D28" s="1243" t="s">
        <v>1324</v>
      </c>
      <c r="E28" s="1251" t="s">
        <v>1325</v>
      </c>
      <c r="F28" s="1243" t="s">
        <v>157</v>
      </c>
      <c r="G28" s="1249">
        <v>6.6</v>
      </c>
      <c r="H28" s="1249">
        <v>6.59</v>
      </c>
      <c r="I28" s="1249">
        <v>6.6</v>
      </c>
      <c r="J28" s="1249">
        <v>6.59</v>
      </c>
      <c r="K28" s="1249">
        <v>6.59</v>
      </c>
      <c r="L28" s="1249">
        <v>6.59</v>
      </c>
      <c r="M28" s="1249">
        <v>6.59</v>
      </c>
      <c r="N28" s="1249">
        <v>6.59</v>
      </c>
      <c r="O28" s="1249">
        <v>6.59</v>
      </c>
      <c r="P28" s="1249">
        <v>6.59</v>
      </c>
      <c r="Q28" s="1249">
        <v>6.63</v>
      </c>
      <c r="R28" s="1249">
        <v>6.59</v>
      </c>
      <c r="S28" s="1249">
        <v>6.63</v>
      </c>
      <c r="T28" s="1249">
        <v>6.61</v>
      </c>
      <c r="U28" s="1249">
        <v>6.61</v>
      </c>
      <c r="V28" s="1246">
        <v>6.6000000000000005</v>
      </c>
    </row>
    <row r="29" spans="1:22" ht="12">
      <c r="A29" s="1187" t="s">
        <v>1326</v>
      </c>
      <c r="B29" s="1185" t="s">
        <v>1311</v>
      </c>
      <c r="D29" s="1243" t="s">
        <v>1327</v>
      </c>
      <c r="E29" s="1254" t="s">
        <v>1311</v>
      </c>
      <c r="F29" s="1243" t="s">
        <v>157</v>
      </c>
      <c r="G29" s="1249">
        <v>6.41</v>
      </c>
      <c r="H29" s="1249">
        <v>6.41</v>
      </c>
      <c r="I29" s="1249">
        <v>6.41</v>
      </c>
      <c r="J29" s="1249">
        <v>6.41</v>
      </c>
      <c r="K29" s="1249">
        <v>6.41</v>
      </c>
      <c r="L29" s="1249">
        <v>6.41</v>
      </c>
      <c r="M29" s="1249">
        <v>6.41</v>
      </c>
      <c r="N29" s="1249">
        <v>6.41</v>
      </c>
      <c r="O29" s="1249">
        <v>6.41</v>
      </c>
      <c r="P29" s="1249">
        <v>6.43</v>
      </c>
      <c r="Q29" s="1249">
        <v>6.39</v>
      </c>
      <c r="R29" s="1249">
        <v>6.41</v>
      </c>
      <c r="S29" s="1249">
        <v>6.39</v>
      </c>
      <c r="T29" s="1249">
        <v>6.42</v>
      </c>
      <c r="U29" s="1249">
        <v>6.42</v>
      </c>
      <c r="V29" s="1246">
        <v>6.41</v>
      </c>
    </row>
    <row r="30" spans="1:22" ht="22.5">
      <c r="A30" s="1187" t="s">
        <v>1328</v>
      </c>
      <c r="B30" s="1185" t="s">
        <v>1313</v>
      </c>
      <c r="D30" s="1243" t="s">
        <v>1329</v>
      </c>
      <c r="E30" s="1254" t="s">
        <v>1313</v>
      </c>
      <c r="F30" s="1243" t="s">
        <v>157</v>
      </c>
      <c r="G30" s="1249">
        <v>0.18</v>
      </c>
      <c r="H30" s="1249">
        <v>0.19</v>
      </c>
      <c r="I30" s="1249">
        <v>0.19</v>
      </c>
      <c r="J30" s="1249">
        <v>0.18</v>
      </c>
      <c r="K30" s="1249">
        <v>0.18</v>
      </c>
      <c r="L30" s="1249">
        <v>0.18</v>
      </c>
      <c r="M30" s="1249">
        <v>0.18</v>
      </c>
      <c r="N30" s="1249">
        <v>0.18</v>
      </c>
      <c r="O30" s="1249">
        <v>0.18</v>
      </c>
      <c r="P30" s="1249">
        <v>0.18</v>
      </c>
      <c r="Q30" s="1249">
        <v>0.24</v>
      </c>
      <c r="R30" s="1249">
        <v>0.18</v>
      </c>
      <c r="S30" s="1249">
        <v>0.24</v>
      </c>
      <c r="T30" s="1249">
        <v>0.19</v>
      </c>
      <c r="U30" s="1249">
        <v>0.19</v>
      </c>
      <c r="V30" s="1246">
        <v>0.19166666666666665</v>
      </c>
    </row>
    <row r="31" spans="1:22" ht="12">
      <c r="A31" s="1187" t="s">
        <v>1330</v>
      </c>
      <c r="B31" s="1185" t="s">
        <v>1331</v>
      </c>
      <c r="D31" s="1243" t="s">
        <v>1332</v>
      </c>
      <c r="E31" s="1244" t="s">
        <v>1333</v>
      </c>
      <c r="F31" s="1252" t="s">
        <v>157</v>
      </c>
      <c r="G31" s="1247">
        <v>6.920999999999998</v>
      </c>
      <c r="H31" s="1247">
        <v>6.830999999999999</v>
      </c>
      <c r="I31" s="1247">
        <v>7.1309999999999985</v>
      </c>
      <c r="J31" s="1247">
        <v>7.0009999999999994</v>
      </c>
      <c r="K31" s="1247">
        <v>7.050999999999998</v>
      </c>
      <c r="L31" s="1247">
        <v>7.050999999999998</v>
      </c>
      <c r="M31" s="1247">
        <v>7.360999999999998</v>
      </c>
      <c r="N31" s="1247">
        <v>7.3809999999999985</v>
      </c>
      <c r="O31" s="1247">
        <v>7.360999999999998</v>
      </c>
      <c r="P31" s="1247">
        <v>7.3809999999999985</v>
      </c>
      <c r="Q31" s="1247">
        <v>7.360999999999998</v>
      </c>
      <c r="R31" s="1247">
        <v>7.3809999999999985</v>
      </c>
      <c r="S31" s="1247">
        <v>7.360999999999998</v>
      </c>
      <c r="T31" s="1247">
        <v>7.3809999999999985</v>
      </c>
      <c r="U31" s="1247">
        <v>7.360999999999998</v>
      </c>
      <c r="V31" s="1256">
        <v>7.285999999999998</v>
      </c>
    </row>
    <row r="32" spans="1:22" ht="12">
      <c r="A32" s="1187" t="s">
        <v>1334</v>
      </c>
      <c r="B32" s="1185" t="s">
        <v>1301</v>
      </c>
      <c r="D32" s="1243" t="s">
        <v>1335</v>
      </c>
      <c r="E32" s="1248" t="s">
        <v>1301</v>
      </c>
      <c r="F32" s="1252" t="s">
        <v>157</v>
      </c>
      <c r="G32" s="1249">
        <v>3.87</v>
      </c>
      <c r="H32" s="1249">
        <v>3.98</v>
      </c>
      <c r="I32" s="1249">
        <v>3.95</v>
      </c>
      <c r="J32" s="1249">
        <v>3.62</v>
      </c>
      <c r="K32" s="1249">
        <v>3.73</v>
      </c>
      <c r="L32" s="1249">
        <v>3.72</v>
      </c>
      <c r="M32" s="1249">
        <v>4.05</v>
      </c>
      <c r="N32" s="1249">
        <v>4.05</v>
      </c>
      <c r="O32" s="1249">
        <v>4.05</v>
      </c>
      <c r="P32" s="1249">
        <v>4.05</v>
      </c>
      <c r="Q32" s="1249">
        <v>4.05</v>
      </c>
      <c r="R32" s="1249">
        <v>4.05</v>
      </c>
      <c r="S32" s="1249">
        <v>4.05</v>
      </c>
      <c r="T32" s="1249">
        <v>4.05</v>
      </c>
      <c r="U32" s="1249">
        <v>4.05</v>
      </c>
      <c r="V32" s="1246">
        <v>3.9599999999999995</v>
      </c>
    </row>
    <row r="33" spans="1:22" ht="12">
      <c r="A33" s="1187" t="s">
        <v>1336</v>
      </c>
      <c r="B33" s="1185" t="s">
        <v>1337</v>
      </c>
      <c r="D33" s="1243" t="s">
        <v>1338</v>
      </c>
      <c r="E33" s="1248" t="s">
        <v>1337</v>
      </c>
      <c r="F33" s="1252" t="s">
        <v>157</v>
      </c>
      <c r="G33" s="1247">
        <v>3.050999999999998</v>
      </c>
      <c r="H33" s="1247">
        <v>2.8509999999999986</v>
      </c>
      <c r="I33" s="1247">
        <v>3.1809999999999983</v>
      </c>
      <c r="J33" s="1247">
        <v>3.380999999999999</v>
      </c>
      <c r="K33" s="1247">
        <v>3.3209999999999984</v>
      </c>
      <c r="L33" s="1247">
        <v>3.330999999999998</v>
      </c>
      <c r="M33" s="1247">
        <v>3.310999999999998</v>
      </c>
      <c r="N33" s="1247">
        <v>3.330999999999998</v>
      </c>
      <c r="O33" s="1247">
        <v>3.310999999999998</v>
      </c>
      <c r="P33" s="1247">
        <v>3.330999999999998</v>
      </c>
      <c r="Q33" s="1247">
        <v>3.310999999999998</v>
      </c>
      <c r="R33" s="1247">
        <v>3.330999999999998</v>
      </c>
      <c r="S33" s="1247">
        <v>3.310999999999998</v>
      </c>
      <c r="T33" s="1247">
        <v>3.330999999999998</v>
      </c>
      <c r="U33" s="1247">
        <v>3.310999999999998</v>
      </c>
      <c r="V33" s="1256">
        <v>3.3259999999999987</v>
      </c>
    </row>
    <row r="34" spans="1:22" ht="12">
      <c r="A34" s="1187" t="s">
        <v>1339</v>
      </c>
      <c r="B34" s="1185" t="s">
        <v>1340</v>
      </c>
      <c r="D34" s="1243" t="s">
        <v>1341</v>
      </c>
      <c r="E34" s="1244" t="s">
        <v>1342</v>
      </c>
      <c r="F34" s="1252" t="s">
        <v>1343</v>
      </c>
      <c r="G34" s="1247">
        <v>18.6</v>
      </c>
      <c r="H34" s="1247">
        <v>18.6</v>
      </c>
      <c r="I34" s="1247">
        <v>18.6</v>
      </c>
      <c r="J34" s="1247">
        <v>18.6</v>
      </c>
      <c r="K34" s="1247">
        <v>18.6</v>
      </c>
      <c r="L34" s="1247">
        <v>18.6</v>
      </c>
      <c r="M34" s="1247">
        <v>18.6</v>
      </c>
      <c r="N34" s="1247">
        <v>18.6</v>
      </c>
      <c r="O34" s="1247">
        <v>18.6</v>
      </c>
      <c r="P34" s="1247">
        <v>18.6</v>
      </c>
      <c r="Q34" s="1247">
        <v>18.6</v>
      </c>
      <c r="R34" s="1247">
        <v>18.6</v>
      </c>
      <c r="S34" s="1247">
        <v>18.6</v>
      </c>
      <c r="T34" s="1247">
        <v>18.6</v>
      </c>
      <c r="U34" s="1247">
        <v>18.6</v>
      </c>
      <c r="V34" s="1256">
        <v>18.6</v>
      </c>
    </row>
    <row r="35" spans="1:22" ht="12">
      <c r="A35" s="1187" t="s">
        <v>1344</v>
      </c>
      <c r="B35" s="1185" t="s">
        <v>1301</v>
      </c>
      <c r="D35" s="1243" t="s">
        <v>1345</v>
      </c>
      <c r="E35" s="1248" t="s">
        <v>1301</v>
      </c>
      <c r="F35" s="1252" t="s">
        <v>1343</v>
      </c>
      <c r="G35" s="1249">
        <v>12</v>
      </c>
      <c r="H35" s="1249">
        <v>12</v>
      </c>
      <c r="I35" s="1249">
        <v>12</v>
      </c>
      <c r="J35" s="1249">
        <v>12</v>
      </c>
      <c r="K35" s="1249">
        <v>12</v>
      </c>
      <c r="L35" s="1249">
        <v>12</v>
      </c>
      <c r="M35" s="1249">
        <v>12</v>
      </c>
      <c r="N35" s="1249">
        <v>12</v>
      </c>
      <c r="O35" s="1249">
        <v>12</v>
      </c>
      <c r="P35" s="1249">
        <v>12</v>
      </c>
      <c r="Q35" s="1249">
        <v>12</v>
      </c>
      <c r="R35" s="1249">
        <v>12</v>
      </c>
      <c r="S35" s="1249">
        <v>12</v>
      </c>
      <c r="T35" s="1249">
        <v>12</v>
      </c>
      <c r="U35" s="1249">
        <v>12</v>
      </c>
      <c r="V35" s="1246">
        <v>12</v>
      </c>
    </row>
    <row r="36" spans="1:22" ht="12.75" thickBot="1">
      <c r="A36" s="1187" t="s">
        <v>1346</v>
      </c>
      <c r="B36" s="1185" t="s">
        <v>1337</v>
      </c>
      <c r="D36" s="1257" t="s">
        <v>1347</v>
      </c>
      <c r="E36" s="1258" t="s">
        <v>1337</v>
      </c>
      <c r="F36" s="1259" t="s">
        <v>1343</v>
      </c>
      <c r="G36" s="1260">
        <v>6.6000000000000005</v>
      </c>
      <c r="H36" s="1260">
        <v>6.6000000000000005</v>
      </c>
      <c r="I36" s="1260">
        <v>6.6000000000000005</v>
      </c>
      <c r="J36" s="1260">
        <v>6.6000000000000005</v>
      </c>
      <c r="K36" s="1260">
        <v>6.6000000000000005</v>
      </c>
      <c r="L36" s="1260">
        <v>6.6000000000000005</v>
      </c>
      <c r="M36" s="1260">
        <v>6.6000000000000005</v>
      </c>
      <c r="N36" s="1260">
        <v>6.6000000000000005</v>
      </c>
      <c r="O36" s="1260">
        <v>6.6000000000000005</v>
      </c>
      <c r="P36" s="1260">
        <v>6.6000000000000005</v>
      </c>
      <c r="Q36" s="1260">
        <v>6.6000000000000005</v>
      </c>
      <c r="R36" s="1260">
        <v>6.6000000000000005</v>
      </c>
      <c r="S36" s="1260">
        <v>6.6000000000000005</v>
      </c>
      <c r="T36" s="1260">
        <v>6.6000000000000005</v>
      </c>
      <c r="U36" s="1260">
        <v>6.6000000000000005</v>
      </c>
      <c r="V36" s="1261">
        <v>6.6000000000000005</v>
      </c>
    </row>
    <row r="37" spans="1:5" ht="12">
      <c r="A37" s="1187"/>
      <c r="B37" s="1185"/>
      <c r="E37" s="1262"/>
    </row>
    <row r="38" spans="1:2" ht="12">
      <c r="A38" s="1187"/>
      <c r="B38" s="1185"/>
    </row>
    <row r="39" spans="1:2" ht="12">
      <c r="A39" s="1187"/>
      <c r="B39" s="1185"/>
    </row>
    <row r="40" spans="1:16" ht="20.25" customHeight="1">
      <c r="A40" s="1187"/>
      <c r="B40" s="1185"/>
      <c r="D40" s="1764" t="s">
        <v>1348</v>
      </c>
      <c r="E40" s="1764"/>
      <c r="F40" s="1764"/>
      <c r="G40" s="1764"/>
      <c r="H40" s="1200"/>
      <c r="I40" s="1200"/>
      <c r="J40" s="1200"/>
      <c r="M40" s="1765"/>
      <c r="N40" s="1765"/>
      <c r="O40" s="1765"/>
      <c r="P40" s="1765"/>
    </row>
    <row r="41" spans="1:10" ht="12">
      <c r="A41" s="1187"/>
      <c r="B41" s="1185"/>
      <c r="E41" s="1263"/>
      <c r="F41" s="1264"/>
      <c r="G41" s="1265"/>
      <c r="H41" s="1265"/>
      <c r="I41" s="1265"/>
      <c r="J41" s="1265"/>
    </row>
    <row r="42" spans="1:16" ht="19.5" customHeight="1">
      <c r="A42" s="1187"/>
      <c r="B42" s="1185"/>
      <c r="D42" s="1764" t="s">
        <v>1349</v>
      </c>
      <c r="E42" s="1764"/>
      <c r="F42" s="1764"/>
      <c r="G42" s="1764"/>
      <c r="H42" s="1764"/>
      <c r="I42" s="1764"/>
      <c r="J42" s="1764"/>
      <c r="K42" s="1764"/>
      <c r="M42" s="1765"/>
      <c r="N42" s="1765"/>
      <c r="O42" s="1765"/>
      <c r="P42" s="1765"/>
    </row>
    <row r="43" spans="4:10" ht="12">
      <c r="D43" s="1760"/>
      <c r="E43" s="1760"/>
      <c r="F43" s="1760"/>
      <c r="G43" s="1760"/>
      <c r="H43" s="1198"/>
      <c r="I43" s="1198"/>
      <c r="J43" s="1198"/>
    </row>
    <row r="44" ht="12">
      <c r="E44" s="1199"/>
    </row>
  </sheetData>
  <sheetProtection/>
  <mergeCells count="6">
    <mergeCell ref="D43:G43"/>
    <mergeCell ref="D9:V9"/>
    <mergeCell ref="D40:G40"/>
    <mergeCell ref="M40:P40"/>
    <mergeCell ref="D42:K42"/>
    <mergeCell ref="M42:P42"/>
  </mergeCells>
  <dataValidations count="1">
    <dataValidation type="decimal" allowBlank="1" showInputMessage="1" showErrorMessage="1" sqref="G14:V36">
      <formula1>0</formula1>
      <formula2>1000000000000000</formula2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zoomScalePageLayoutView="0" workbookViewId="0" topLeftCell="A7">
      <selection activeCell="F30" sqref="F30"/>
    </sheetView>
  </sheetViews>
  <sheetFormatPr defaultColWidth="9.00390625" defaultRowHeight="12.75"/>
  <cols>
    <col min="1" max="1" width="7.00390625" style="0" customWidth="1"/>
    <col min="2" max="2" width="5.125" style="0" customWidth="1"/>
    <col min="3" max="3" width="40.625" style="0" customWidth="1"/>
    <col min="4" max="4" width="11.125" style="0" customWidth="1"/>
    <col min="5" max="5" width="9.875" style="0" customWidth="1"/>
    <col min="6" max="6" width="13.625" style="0" customWidth="1"/>
    <col min="7" max="7" width="10.375" style="0" customWidth="1"/>
    <col min="8" max="8" width="14.00390625" style="0" customWidth="1"/>
    <col min="9" max="9" width="10.375" style="0" customWidth="1"/>
    <col min="10" max="10" width="14.125" style="0" customWidth="1"/>
  </cols>
  <sheetData>
    <row r="1" ht="12.75">
      <c r="A1" s="53" t="s">
        <v>2388</v>
      </c>
    </row>
    <row r="2" ht="13.5" thickBot="1"/>
    <row r="3" spans="2:10" ht="12.75">
      <c r="B3" s="1754" t="s">
        <v>2370</v>
      </c>
      <c r="C3" s="1755"/>
      <c r="D3" s="1755"/>
      <c r="E3" s="1755"/>
      <c r="F3" s="1755"/>
      <c r="G3" s="1755"/>
      <c r="H3" s="14"/>
      <c r="I3" s="1876" t="s">
        <v>2369</v>
      </c>
      <c r="J3" s="1823"/>
    </row>
    <row r="4" spans="2:10" ht="13.5" thickBot="1">
      <c r="B4" s="1758"/>
      <c r="C4" s="1759"/>
      <c r="D4" s="1759"/>
      <c r="E4" s="1759"/>
      <c r="F4" s="1759"/>
      <c r="G4" s="1759"/>
      <c r="H4" s="15"/>
      <c r="I4" s="2059"/>
      <c r="J4" s="2060"/>
    </row>
    <row r="5" spans="2:10" ht="26.25" customHeight="1">
      <c r="B5" s="1826" t="s">
        <v>1381</v>
      </c>
      <c r="C5" s="1828"/>
      <c r="D5" s="1828" t="s">
        <v>2504</v>
      </c>
      <c r="E5" s="1828" t="s">
        <v>2372</v>
      </c>
      <c r="F5" s="1828"/>
      <c r="G5" s="1828" t="s">
        <v>2373</v>
      </c>
      <c r="H5" s="1828"/>
      <c r="I5" s="1828" t="s">
        <v>2374</v>
      </c>
      <c r="J5" s="1977"/>
    </row>
    <row r="6" spans="2:10" ht="38.25">
      <c r="B6" s="1866"/>
      <c r="C6" s="1867"/>
      <c r="D6" s="1863"/>
      <c r="E6" s="1" t="s">
        <v>1414</v>
      </c>
      <c r="F6" s="1" t="s">
        <v>1415</v>
      </c>
      <c r="G6" s="1" t="s">
        <v>1414</v>
      </c>
      <c r="H6" s="1" t="s">
        <v>1415</v>
      </c>
      <c r="I6" s="1" t="s">
        <v>1414</v>
      </c>
      <c r="J6" s="6" t="s">
        <v>1415</v>
      </c>
    </row>
    <row r="7" spans="2:10" ht="12.75">
      <c r="B7" s="5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6">
        <v>9</v>
      </c>
    </row>
    <row r="8" spans="2:10" ht="38.25">
      <c r="B8" s="1866" t="s">
        <v>124</v>
      </c>
      <c r="C8" s="60" t="s">
        <v>2375</v>
      </c>
      <c r="D8" s="63" t="s">
        <v>237</v>
      </c>
      <c r="E8" s="17"/>
      <c r="F8" s="17"/>
      <c r="G8" s="17"/>
      <c r="H8" s="17"/>
      <c r="I8" s="17"/>
      <c r="J8" s="21"/>
    </row>
    <row r="9" spans="2:10" ht="16.5" customHeight="1">
      <c r="B9" s="1866"/>
      <c r="C9" s="60" t="s">
        <v>2378</v>
      </c>
      <c r="D9" s="63" t="s">
        <v>237</v>
      </c>
      <c r="E9" s="17"/>
      <c r="F9" s="17"/>
      <c r="G9" s="17"/>
      <c r="H9" s="17"/>
      <c r="I9" s="17"/>
      <c r="J9" s="21"/>
    </row>
    <row r="10" spans="2:10" ht="12.75">
      <c r="B10" s="1866"/>
      <c r="C10" s="60" t="s">
        <v>2377</v>
      </c>
      <c r="D10" s="63" t="s">
        <v>237</v>
      </c>
      <c r="E10" s="17"/>
      <c r="F10" s="17"/>
      <c r="G10" s="17"/>
      <c r="H10" s="17"/>
      <c r="I10" s="17"/>
      <c r="J10" s="21"/>
    </row>
    <row r="11" spans="2:10" ht="25.5">
      <c r="B11" s="1866"/>
      <c r="C11" s="60" t="s">
        <v>2379</v>
      </c>
      <c r="D11" s="63" t="s">
        <v>237</v>
      </c>
      <c r="E11" s="17"/>
      <c r="F11" s="17"/>
      <c r="G11" s="17"/>
      <c r="H11" s="17"/>
      <c r="I11" s="17"/>
      <c r="J11" s="21"/>
    </row>
    <row r="12" spans="2:10" ht="25.5">
      <c r="B12" s="1866"/>
      <c r="C12" s="60" t="s">
        <v>2380</v>
      </c>
      <c r="D12" s="63" t="s">
        <v>237</v>
      </c>
      <c r="E12" s="17"/>
      <c r="F12" s="17"/>
      <c r="G12" s="17"/>
      <c r="H12" s="17"/>
      <c r="I12" s="17"/>
      <c r="J12" s="21"/>
    </row>
    <row r="13" spans="2:10" ht="12.75">
      <c r="B13" s="1866"/>
      <c r="C13" s="60" t="s">
        <v>2381</v>
      </c>
      <c r="D13" s="63" t="s">
        <v>237</v>
      </c>
      <c r="E13" s="17"/>
      <c r="F13" s="17"/>
      <c r="G13" s="17"/>
      <c r="H13" s="17"/>
      <c r="I13" s="17"/>
      <c r="J13" s="21"/>
    </row>
    <row r="14" spans="2:10" ht="25.5">
      <c r="B14" s="5" t="s">
        <v>174</v>
      </c>
      <c r="C14" s="60" t="s">
        <v>2382</v>
      </c>
      <c r="D14" s="63" t="s">
        <v>237</v>
      </c>
      <c r="E14" s="17"/>
      <c r="F14" s="17"/>
      <c r="G14" s="17"/>
      <c r="H14" s="17"/>
      <c r="I14" s="17"/>
      <c r="J14" s="21"/>
    </row>
    <row r="15" spans="2:10" ht="12.75">
      <c r="B15" s="5" t="s">
        <v>176</v>
      </c>
      <c r="C15" s="60" t="s">
        <v>2383</v>
      </c>
      <c r="D15" s="63" t="s">
        <v>1592</v>
      </c>
      <c r="E15" s="17"/>
      <c r="F15" s="17"/>
      <c r="G15" s="17"/>
      <c r="H15" s="17"/>
      <c r="I15" s="17"/>
      <c r="J15" s="21"/>
    </row>
    <row r="16" spans="2:10" ht="24" customHeight="1">
      <c r="B16" s="5" t="s">
        <v>178</v>
      </c>
      <c r="C16" s="60" t="s">
        <v>2384</v>
      </c>
      <c r="D16" s="63" t="s">
        <v>237</v>
      </c>
      <c r="E16" s="17"/>
      <c r="F16" s="17"/>
      <c r="G16" s="17"/>
      <c r="H16" s="17"/>
      <c r="I16" s="17"/>
      <c r="J16" s="21"/>
    </row>
    <row r="17" spans="2:10" ht="25.5">
      <c r="B17" s="5" t="s">
        <v>2313</v>
      </c>
      <c r="C17" s="60" t="s">
        <v>2385</v>
      </c>
      <c r="D17" s="63" t="s">
        <v>2371</v>
      </c>
      <c r="E17" s="17"/>
      <c r="F17" s="17"/>
      <c r="G17" s="17"/>
      <c r="H17" s="17"/>
      <c r="I17" s="17"/>
      <c r="J17" s="21"/>
    </row>
    <row r="18" spans="2:10" ht="26.25" thickBot="1">
      <c r="B18" s="7" t="s">
        <v>2315</v>
      </c>
      <c r="C18" s="62" t="s">
        <v>2386</v>
      </c>
      <c r="D18" s="64" t="s">
        <v>2387</v>
      </c>
      <c r="E18" s="23"/>
      <c r="F18" s="23"/>
      <c r="G18" s="23"/>
      <c r="H18" s="23"/>
      <c r="I18" s="23"/>
      <c r="J18" s="24"/>
    </row>
    <row r="20" spans="2:10" ht="12.75">
      <c r="B20" s="1877" t="s">
        <v>2389</v>
      </c>
      <c r="C20" s="1878"/>
      <c r="D20" s="1878"/>
      <c r="E20" s="1878"/>
      <c r="F20" s="1878"/>
      <c r="G20" s="1878"/>
      <c r="H20" s="1878"/>
      <c r="I20" s="1878"/>
      <c r="J20" s="1878"/>
    </row>
  </sheetData>
  <sheetProtection/>
  <mergeCells count="10">
    <mergeCell ref="B3:G4"/>
    <mergeCell ref="I3:J4"/>
    <mergeCell ref="D5:D6"/>
    <mergeCell ref="B20:J20"/>
    <mergeCell ref="B8:B13"/>
    <mergeCell ref="G5:H5"/>
    <mergeCell ref="I5:J5"/>
    <mergeCell ref="B5:B6"/>
    <mergeCell ref="C5:C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8">
      <selection activeCell="I25" sqref="I25"/>
    </sheetView>
  </sheetViews>
  <sheetFormatPr defaultColWidth="9.00390625" defaultRowHeight="12.75"/>
  <cols>
    <col min="2" max="2" width="5.00390625" style="0" customWidth="1"/>
    <col min="3" max="3" width="38.875" style="0" customWidth="1"/>
    <col min="4" max="4" width="16.375" style="0" customWidth="1"/>
    <col min="5" max="5" width="14.75390625" style="0" customWidth="1"/>
    <col min="6" max="6" width="16.875" style="0" customWidth="1"/>
  </cols>
  <sheetData>
    <row r="1" ht="13.5" thickBot="1">
      <c r="A1" s="53" t="s">
        <v>2399</v>
      </c>
    </row>
    <row r="2" spans="1:6" ht="12.75">
      <c r="A2" s="53" t="s">
        <v>2439</v>
      </c>
      <c r="B2" s="1754" t="s">
        <v>2398</v>
      </c>
      <c r="C2" s="1884"/>
      <c r="D2" s="1884"/>
      <c r="E2" s="2062"/>
      <c r="F2" s="1864" t="s">
        <v>2392</v>
      </c>
    </row>
    <row r="3" spans="1:6" ht="13.5" thickBot="1">
      <c r="A3" s="53" t="s">
        <v>498</v>
      </c>
      <c r="B3" s="2063"/>
      <c r="C3" s="2064"/>
      <c r="D3" s="2064"/>
      <c r="E3" s="2065"/>
      <c r="F3" s="2061"/>
    </row>
    <row r="4" spans="2:6" ht="25.5">
      <c r="B4" s="39"/>
      <c r="C4" s="40"/>
      <c r="D4" s="40" t="s">
        <v>2504</v>
      </c>
      <c r="E4" s="40" t="s">
        <v>1414</v>
      </c>
      <c r="F4" s="41" t="s">
        <v>1415</v>
      </c>
    </row>
    <row r="5" spans="2:6" ht="12.75">
      <c r="B5" s="5">
        <v>1</v>
      </c>
      <c r="C5" s="1">
        <v>2</v>
      </c>
      <c r="D5" s="1">
        <v>3</v>
      </c>
      <c r="E5" s="1">
        <v>4</v>
      </c>
      <c r="F5" s="6">
        <v>5</v>
      </c>
    </row>
    <row r="6" spans="2:6" ht="38.25">
      <c r="B6" s="5">
        <v>1</v>
      </c>
      <c r="C6" s="2" t="s">
        <v>2395</v>
      </c>
      <c r="D6" s="1" t="s">
        <v>237</v>
      </c>
      <c r="E6" s="17"/>
      <c r="F6" s="21"/>
    </row>
    <row r="7" spans="2:6" ht="38.25">
      <c r="B7" s="5">
        <v>2</v>
      </c>
      <c r="C7" s="2" t="s">
        <v>2396</v>
      </c>
      <c r="D7" s="1" t="s">
        <v>2393</v>
      </c>
      <c r="E7" s="17"/>
      <c r="F7" s="21"/>
    </row>
    <row r="8" spans="2:6" ht="63" customHeight="1" thickBot="1">
      <c r="B8" s="7">
        <v>3</v>
      </c>
      <c r="C8" s="8" t="s">
        <v>2394</v>
      </c>
      <c r="D8" s="9" t="s">
        <v>2397</v>
      </c>
      <c r="E8" s="23"/>
      <c r="F8" s="24"/>
    </row>
    <row r="9" ht="13.5" thickBot="1"/>
    <row r="10" spans="2:6" ht="12.75">
      <c r="B10" s="1737" t="s">
        <v>2425</v>
      </c>
      <c r="C10" s="1738"/>
      <c r="D10" s="1738"/>
      <c r="E10" s="1738"/>
      <c r="F10" s="1864" t="s">
        <v>2424</v>
      </c>
    </row>
    <row r="11" spans="2:6" ht="13.5" thickBot="1">
      <c r="B11" s="1740"/>
      <c r="C11" s="1741"/>
      <c r="D11" s="1741"/>
      <c r="E11" s="1741"/>
      <c r="F11" s="1744"/>
    </row>
    <row r="12" spans="2:6" ht="27">
      <c r="B12" s="95"/>
      <c r="C12" s="96"/>
      <c r="D12" s="97" t="s">
        <v>2504</v>
      </c>
      <c r="E12" s="97" t="s">
        <v>1414</v>
      </c>
      <c r="F12" s="98" t="s">
        <v>1415</v>
      </c>
    </row>
    <row r="13" spans="2:6" ht="13.5">
      <c r="B13" s="99">
        <v>1</v>
      </c>
      <c r="C13" s="100">
        <v>2</v>
      </c>
      <c r="D13" s="101">
        <v>3</v>
      </c>
      <c r="E13" s="101"/>
      <c r="F13" s="102">
        <v>5</v>
      </c>
    </row>
    <row r="14" spans="2:6" ht="40.5">
      <c r="B14" s="99">
        <v>1</v>
      </c>
      <c r="C14" s="103" t="s">
        <v>2426</v>
      </c>
      <c r="D14" s="101" t="s">
        <v>2427</v>
      </c>
      <c r="E14" s="104"/>
      <c r="F14" s="105"/>
    </row>
    <row r="15" spans="2:6" ht="27">
      <c r="B15" s="106">
        <v>2</v>
      </c>
      <c r="C15" s="103" t="s">
        <v>2428</v>
      </c>
      <c r="D15" s="101" t="s">
        <v>2429</v>
      </c>
      <c r="E15" s="104"/>
      <c r="F15" s="105"/>
    </row>
    <row r="16" spans="2:6" ht="27">
      <c r="B16" s="107"/>
      <c r="C16" s="103" t="s">
        <v>2430</v>
      </c>
      <c r="D16" s="101" t="s">
        <v>2429</v>
      </c>
      <c r="E16" s="104"/>
      <c r="F16" s="108"/>
    </row>
    <row r="17" spans="2:6" ht="27">
      <c r="B17" s="107"/>
      <c r="C17" s="103" t="s">
        <v>2431</v>
      </c>
      <c r="D17" s="101" t="s">
        <v>2429</v>
      </c>
      <c r="E17" s="109"/>
      <c r="F17" s="108"/>
    </row>
    <row r="18" spans="2:6" ht="27">
      <c r="B18" s="107"/>
      <c r="C18" s="103" t="s">
        <v>2432</v>
      </c>
      <c r="D18" s="101" t="s">
        <v>2429</v>
      </c>
      <c r="E18" s="110"/>
      <c r="F18" s="105"/>
    </row>
    <row r="19" spans="2:6" ht="27">
      <c r="B19" s="107"/>
      <c r="C19" s="103" t="s">
        <v>2433</v>
      </c>
      <c r="D19" s="101" t="s">
        <v>2429</v>
      </c>
      <c r="E19" s="104"/>
      <c r="F19" s="105"/>
    </row>
    <row r="20" spans="2:6" ht="24" customHeight="1">
      <c r="B20" s="107"/>
      <c r="C20" s="103" t="s">
        <v>2423</v>
      </c>
      <c r="D20" s="101" t="s">
        <v>2429</v>
      </c>
      <c r="E20" s="104"/>
      <c r="F20" s="105"/>
    </row>
    <row r="21" spans="2:6" ht="40.5">
      <c r="B21" s="106">
        <v>3</v>
      </c>
      <c r="C21" s="103" t="s">
        <v>2434</v>
      </c>
      <c r="D21" s="101" t="s">
        <v>2429</v>
      </c>
      <c r="E21" s="104"/>
      <c r="F21" s="105"/>
    </row>
    <row r="22" spans="2:6" ht="40.5">
      <c r="B22" s="106">
        <v>4</v>
      </c>
      <c r="C22" s="103" t="s">
        <v>2435</v>
      </c>
      <c r="D22" s="101" t="s">
        <v>2427</v>
      </c>
      <c r="E22" s="104"/>
      <c r="F22" s="105"/>
    </row>
    <row r="23" spans="2:6" ht="27.75" thickBot="1">
      <c r="B23" s="111">
        <v>5</v>
      </c>
      <c r="C23" s="112" t="s">
        <v>2438</v>
      </c>
      <c r="D23" s="113" t="s">
        <v>2429</v>
      </c>
      <c r="E23" s="114"/>
      <c r="F23" s="115"/>
    </row>
    <row r="26" ht="13.5">
      <c r="B26" s="116"/>
    </row>
    <row r="27" ht="13.5" thickBot="1"/>
    <row r="28" spans="2:19" ht="12.75">
      <c r="B28" s="1737" t="s">
        <v>497</v>
      </c>
      <c r="C28" s="2066"/>
      <c r="D28" s="2066"/>
      <c r="E28" s="2066"/>
      <c r="F28" s="2066"/>
      <c r="G28" s="2066"/>
      <c r="H28" s="2067"/>
      <c r="I28" s="14"/>
      <c r="J28" s="14"/>
      <c r="K28" s="14"/>
      <c r="L28" s="14"/>
      <c r="M28" s="14"/>
      <c r="N28" s="14"/>
      <c r="O28" s="14"/>
      <c r="P28" s="14"/>
      <c r="Q28" s="14"/>
      <c r="R28" s="1876" t="s">
        <v>489</v>
      </c>
      <c r="S28" s="2071"/>
    </row>
    <row r="29" spans="2:19" ht="13.5" thickBot="1">
      <c r="B29" s="2068"/>
      <c r="C29" s="2069"/>
      <c r="D29" s="2069"/>
      <c r="E29" s="2069"/>
      <c r="F29" s="2069"/>
      <c r="G29" s="2069"/>
      <c r="H29" s="2070"/>
      <c r="I29" s="15"/>
      <c r="J29" s="15"/>
      <c r="K29" s="15"/>
      <c r="L29" s="15"/>
      <c r="M29" s="15"/>
      <c r="N29" s="15"/>
      <c r="O29" s="15"/>
      <c r="P29" s="15"/>
      <c r="Q29" s="15"/>
      <c r="R29" s="2072"/>
      <c r="S29" s="2073"/>
    </row>
    <row r="30" spans="2:19" ht="13.5" customHeight="1">
      <c r="B30" s="1826" t="s">
        <v>349</v>
      </c>
      <c r="C30" s="1828" t="s">
        <v>164</v>
      </c>
      <c r="D30" s="1828" t="s">
        <v>1559</v>
      </c>
      <c r="E30" s="1828" t="s">
        <v>1564</v>
      </c>
      <c r="F30" s="1828" t="s">
        <v>490</v>
      </c>
      <c r="G30" s="1828"/>
      <c r="H30" s="1828"/>
      <c r="I30" s="1828"/>
      <c r="J30" s="1828"/>
      <c r="K30" s="1828"/>
      <c r="L30" s="1828"/>
      <c r="M30" s="1828" t="s">
        <v>515</v>
      </c>
      <c r="N30" s="1828"/>
      <c r="O30" s="1828"/>
      <c r="P30" s="1828"/>
      <c r="Q30" s="1828"/>
      <c r="R30" s="1828"/>
      <c r="S30" s="1977"/>
    </row>
    <row r="31" spans="2:19" ht="13.5" customHeight="1">
      <c r="B31" s="1866"/>
      <c r="C31" s="1867"/>
      <c r="D31" s="1867"/>
      <c r="E31" s="1867"/>
      <c r="F31" s="1867" t="s">
        <v>500</v>
      </c>
      <c r="G31" s="1867" t="s">
        <v>513</v>
      </c>
      <c r="H31" s="1867" t="s">
        <v>514</v>
      </c>
      <c r="I31" s="1863"/>
      <c r="J31" s="1863"/>
      <c r="K31" s="1863"/>
      <c r="L31" s="1863"/>
      <c r="M31" s="1867" t="s">
        <v>500</v>
      </c>
      <c r="N31" s="1867" t="s">
        <v>513</v>
      </c>
      <c r="O31" s="1867" t="s">
        <v>514</v>
      </c>
      <c r="P31" s="1863"/>
      <c r="Q31" s="1863"/>
      <c r="R31" s="1863"/>
      <c r="S31" s="1869"/>
    </row>
    <row r="32" spans="2:19" ht="38.25">
      <c r="B32" s="1866"/>
      <c r="C32" s="1867"/>
      <c r="D32" s="1867"/>
      <c r="E32" s="1867"/>
      <c r="F32" s="1863"/>
      <c r="G32" s="1863"/>
      <c r="H32" s="1" t="s">
        <v>501</v>
      </c>
      <c r="I32" s="1" t="s">
        <v>502</v>
      </c>
      <c r="J32" s="1" t="s">
        <v>503</v>
      </c>
      <c r="K32" s="1" t="s">
        <v>504</v>
      </c>
      <c r="L32" s="1" t="s">
        <v>512</v>
      </c>
      <c r="M32" s="1863"/>
      <c r="N32" s="1863"/>
      <c r="O32" s="1" t="s">
        <v>501</v>
      </c>
      <c r="P32" s="1" t="s">
        <v>502</v>
      </c>
      <c r="Q32" s="1" t="s">
        <v>503</v>
      </c>
      <c r="R32" s="1" t="s">
        <v>504</v>
      </c>
      <c r="S32" s="6" t="s">
        <v>512</v>
      </c>
    </row>
    <row r="33" spans="2:19" ht="12.75">
      <c r="B33" s="5">
        <v>1</v>
      </c>
      <c r="C33" s="1">
        <v>2</v>
      </c>
      <c r="D33" s="1">
        <v>3</v>
      </c>
      <c r="E33" s="1">
        <v>4</v>
      </c>
      <c r="F33" s="1">
        <v>5</v>
      </c>
      <c r="G33" s="1">
        <v>6</v>
      </c>
      <c r="H33" s="1">
        <v>7</v>
      </c>
      <c r="I33" s="1">
        <v>8</v>
      </c>
      <c r="J33" s="1">
        <v>9</v>
      </c>
      <c r="K33" s="1">
        <v>10</v>
      </c>
      <c r="L33" s="1">
        <v>11</v>
      </c>
      <c r="M33" s="17">
        <v>12</v>
      </c>
      <c r="N33" s="17">
        <v>13</v>
      </c>
      <c r="O33" s="17">
        <v>14</v>
      </c>
      <c r="P33" s="17">
        <v>15</v>
      </c>
      <c r="Q33" s="17">
        <v>16</v>
      </c>
      <c r="R33" s="17">
        <v>17</v>
      </c>
      <c r="S33" s="21">
        <v>18</v>
      </c>
    </row>
    <row r="34" spans="2:19" ht="12.75">
      <c r="B34" s="5" t="s">
        <v>1565</v>
      </c>
      <c r="C34" s="60" t="s">
        <v>516</v>
      </c>
      <c r="D34" s="1" t="s">
        <v>491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1"/>
    </row>
    <row r="35" spans="2:19" ht="25.5">
      <c r="B35" s="5" t="s">
        <v>1597</v>
      </c>
      <c r="C35" s="60" t="s">
        <v>517</v>
      </c>
      <c r="D35" s="1" t="s">
        <v>2393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1"/>
    </row>
    <row r="36" spans="2:19" ht="12.75">
      <c r="B36" s="5" t="s">
        <v>492</v>
      </c>
      <c r="C36" s="60" t="s">
        <v>518</v>
      </c>
      <c r="D36" s="1" t="s">
        <v>2429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"/>
    </row>
    <row r="37" spans="2:19" ht="14.25" customHeight="1">
      <c r="B37" s="5" t="s">
        <v>408</v>
      </c>
      <c r="C37" s="60" t="s">
        <v>494</v>
      </c>
      <c r="D37" s="1" t="s">
        <v>519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"/>
    </row>
    <row r="38" spans="2:19" ht="12.75">
      <c r="B38" s="5" t="s">
        <v>410</v>
      </c>
      <c r="C38" s="60" t="s">
        <v>495</v>
      </c>
      <c r="D38" s="1" t="s">
        <v>2429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1"/>
    </row>
    <row r="39" spans="2:19" ht="12.75">
      <c r="B39" s="5" t="s">
        <v>1599</v>
      </c>
      <c r="C39" s="60" t="s">
        <v>520</v>
      </c>
      <c r="D39" s="1" t="s">
        <v>2429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1"/>
    </row>
    <row r="40" spans="2:19" ht="25.5">
      <c r="B40" s="5" t="s">
        <v>299</v>
      </c>
      <c r="C40" s="60" t="s">
        <v>522</v>
      </c>
      <c r="D40" s="1" t="s">
        <v>521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1"/>
    </row>
    <row r="41" spans="2:19" ht="25.5">
      <c r="B41" s="5" t="s">
        <v>304</v>
      </c>
      <c r="C41" s="60" t="s">
        <v>523</v>
      </c>
      <c r="D41" s="1" t="s">
        <v>237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1"/>
    </row>
    <row r="42" spans="2:19" ht="12.75">
      <c r="B42" s="5" t="s">
        <v>496</v>
      </c>
      <c r="C42" s="60" t="s">
        <v>524</v>
      </c>
      <c r="D42" s="1" t="s">
        <v>237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1"/>
    </row>
    <row r="43" spans="2:19" ht="13.5" thickBot="1">
      <c r="B43" s="7" t="s">
        <v>2391</v>
      </c>
      <c r="C43" s="62" t="s">
        <v>525</v>
      </c>
      <c r="D43" s="9" t="s">
        <v>237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</row>
  </sheetData>
  <sheetProtection/>
  <mergeCells count="18">
    <mergeCell ref="R28:S29"/>
    <mergeCell ref="H31:L31"/>
    <mergeCell ref="F31:F32"/>
    <mergeCell ref="G31:G32"/>
    <mergeCell ref="M31:M32"/>
    <mergeCell ref="N31:N32"/>
    <mergeCell ref="F30:L30"/>
    <mergeCell ref="M30:S30"/>
    <mergeCell ref="O31:S31"/>
    <mergeCell ref="B10:E11"/>
    <mergeCell ref="F10:F11"/>
    <mergeCell ref="F2:F3"/>
    <mergeCell ref="B2:E3"/>
    <mergeCell ref="B30:B32"/>
    <mergeCell ref="C30:C32"/>
    <mergeCell ref="D30:D32"/>
    <mergeCell ref="E30:E32"/>
    <mergeCell ref="B28:H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2" width="9.125" style="72" customWidth="1"/>
    <col min="3" max="3" width="32.125" style="72" customWidth="1"/>
    <col min="4" max="4" width="13.125" style="72" customWidth="1"/>
    <col min="5" max="5" width="16.00390625" style="72" customWidth="1"/>
    <col min="6" max="6" width="14.375" style="72" customWidth="1"/>
    <col min="7" max="7" width="15.875" style="72" customWidth="1"/>
    <col min="8" max="8" width="14.125" style="72" customWidth="1"/>
    <col min="9" max="16384" width="9.125" style="72" customWidth="1"/>
  </cols>
  <sheetData>
    <row r="1" ht="12.75">
      <c r="A1" s="71" t="s">
        <v>2400</v>
      </c>
    </row>
    <row r="2" ht="13.5" thickBot="1"/>
    <row r="3" spans="1:8" ht="12.75">
      <c r="A3" s="73"/>
      <c r="B3" s="2074" t="s">
        <v>2401</v>
      </c>
      <c r="C3" s="2075"/>
      <c r="D3" s="2075"/>
      <c r="E3" s="2075"/>
      <c r="F3" s="2075"/>
      <c r="G3" s="2078" t="s">
        <v>2402</v>
      </c>
      <c r="H3" s="2079"/>
    </row>
    <row r="4" spans="2:8" ht="13.5" thickBot="1">
      <c r="B4" s="2076"/>
      <c r="C4" s="2077"/>
      <c r="D4" s="2077"/>
      <c r="E4" s="2077"/>
      <c r="F4" s="2077"/>
      <c r="G4" s="2080"/>
      <c r="H4" s="2081"/>
    </row>
    <row r="5" spans="1:9" ht="51">
      <c r="A5" s="74"/>
      <c r="B5" s="75"/>
      <c r="C5" s="76" t="s">
        <v>2403</v>
      </c>
      <c r="D5" s="77" t="s">
        <v>2404</v>
      </c>
      <c r="E5" s="77" t="s">
        <v>2405</v>
      </c>
      <c r="F5" s="77" t="s">
        <v>2406</v>
      </c>
      <c r="G5" s="77" t="s">
        <v>2407</v>
      </c>
      <c r="H5" s="78" t="s">
        <v>2416</v>
      </c>
      <c r="I5" s="79"/>
    </row>
    <row r="6" spans="1:8" ht="12.75">
      <c r="A6" s="74"/>
      <c r="B6" s="80">
        <v>1</v>
      </c>
      <c r="C6" s="81">
        <f aca="true" t="shared" si="0" ref="C6:H6">B6+1</f>
        <v>2</v>
      </c>
      <c r="D6" s="81">
        <f t="shared" si="0"/>
        <v>3</v>
      </c>
      <c r="E6" s="81">
        <f t="shared" si="0"/>
        <v>4</v>
      </c>
      <c r="F6" s="81">
        <f t="shared" si="0"/>
        <v>5</v>
      </c>
      <c r="G6" s="81">
        <f t="shared" si="0"/>
        <v>6</v>
      </c>
      <c r="H6" s="82">
        <f t="shared" si="0"/>
        <v>7</v>
      </c>
    </row>
    <row r="7" spans="1:8" ht="51">
      <c r="A7" s="74"/>
      <c r="B7" s="83">
        <v>1</v>
      </c>
      <c r="C7" s="84" t="s">
        <v>2417</v>
      </c>
      <c r="D7" s="85"/>
      <c r="E7" s="85"/>
      <c r="F7" s="85"/>
      <c r="G7" s="85"/>
      <c r="H7" s="86"/>
    </row>
    <row r="8" spans="1:8" ht="12.75">
      <c r="A8" s="74"/>
      <c r="B8" s="87"/>
      <c r="C8" s="88" t="s">
        <v>2418</v>
      </c>
      <c r="D8" s="85"/>
      <c r="E8" s="85"/>
      <c r="F8" s="85"/>
      <c r="G8" s="85"/>
      <c r="H8" s="86"/>
    </row>
    <row r="9" spans="2:8" ht="12.75">
      <c r="B9" s="87"/>
      <c r="C9" s="88" t="s">
        <v>2419</v>
      </c>
      <c r="D9" s="85"/>
      <c r="E9" s="85"/>
      <c r="F9" s="85"/>
      <c r="G9" s="85"/>
      <c r="H9" s="86"/>
    </row>
    <row r="10" spans="1:8" ht="13.5" customHeight="1">
      <c r="A10" s="89"/>
      <c r="B10" s="87"/>
      <c r="C10" s="88" t="s">
        <v>2420</v>
      </c>
      <c r="D10" s="85"/>
      <c r="E10" s="85"/>
      <c r="F10" s="85"/>
      <c r="G10" s="85"/>
      <c r="H10" s="86"/>
    </row>
    <row r="11" spans="2:8" ht="12.75">
      <c r="B11" s="87"/>
      <c r="C11" s="88" t="s">
        <v>2421</v>
      </c>
      <c r="D11" s="85"/>
      <c r="E11" s="85"/>
      <c r="F11" s="85"/>
      <c r="G11" s="85"/>
      <c r="H11" s="86"/>
    </row>
    <row r="12" spans="1:8" ht="12.75">
      <c r="A12" s="90"/>
      <c r="B12" s="87"/>
      <c r="C12" s="88" t="s">
        <v>2422</v>
      </c>
      <c r="D12" s="85"/>
      <c r="E12" s="85"/>
      <c r="F12" s="85"/>
      <c r="G12" s="85"/>
      <c r="H12" s="86"/>
    </row>
    <row r="13" spans="1:8" ht="13.5" thickBot="1">
      <c r="A13" s="90"/>
      <c r="B13" s="91"/>
      <c r="C13" s="92" t="s">
        <v>2423</v>
      </c>
      <c r="D13" s="93"/>
      <c r="E13" s="93"/>
      <c r="F13" s="93"/>
      <c r="G13" s="93"/>
      <c r="H13" s="94"/>
    </row>
    <row r="14" ht="12.75">
      <c r="A14" s="90"/>
    </row>
    <row r="16" ht="12.75">
      <c r="A16" s="90"/>
    </row>
    <row r="18" ht="12.75">
      <c r="A18" s="90"/>
    </row>
    <row r="19" ht="12.75">
      <c r="A19" s="90"/>
    </row>
    <row r="21" ht="12.75">
      <c r="A21" s="90"/>
    </row>
    <row r="22" ht="12.75">
      <c r="A22" s="90"/>
    </row>
    <row r="23" ht="12.75">
      <c r="A23" s="90"/>
    </row>
  </sheetData>
  <sheetProtection/>
  <mergeCells count="2">
    <mergeCell ref="B3:F4"/>
    <mergeCell ref="G3:H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zoomScalePageLayoutView="0" workbookViewId="0" topLeftCell="A1">
      <selection activeCell="A6" sqref="A6"/>
    </sheetView>
  </sheetViews>
  <sheetFormatPr defaultColWidth="9.00390625" defaultRowHeight="12.75"/>
  <cols>
    <col min="2" max="2" width="5.75390625" style="0" customWidth="1"/>
    <col min="3" max="3" width="31.375" style="0" customWidth="1"/>
  </cols>
  <sheetData>
    <row r="1" ht="12.75">
      <c r="A1" s="53" t="s">
        <v>548</v>
      </c>
    </row>
    <row r="2" ht="13.5" thickBot="1"/>
    <row r="3" spans="2:18" ht="12.75">
      <c r="B3" s="1754" t="s">
        <v>547</v>
      </c>
      <c r="C3" s="1755"/>
      <c r="D3" s="1755"/>
      <c r="E3" s="1755"/>
      <c r="F3" s="1755"/>
      <c r="G3" s="1755"/>
      <c r="H3" s="2085"/>
      <c r="I3" s="2085"/>
      <c r="J3" s="2085"/>
      <c r="K3" s="2085"/>
      <c r="L3" s="1887" t="s">
        <v>491</v>
      </c>
      <c r="M3" s="2082"/>
      <c r="N3" s="2082"/>
      <c r="O3" s="2082"/>
      <c r="P3" s="1823"/>
      <c r="Q3" s="1876" t="s">
        <v>545</v>
      </c>
      <c r="R3" s="2071"/>
    </row>
    <row r="4" spans="2:18" ht="13.5" thickBot="1">
      <c r="B4" s="1756"/>
      <c r="C4" s="1757"/>
      <c r="D4" s="1757"/>
      <c r="E4" s="1757"/>
      <c r="F4" s="1757"/>
      <c r="G4" s="1757"/>
      <c r="H4" s="2086"/>
      <c r="I4" s="2086"/>
      <c r="J4" s="2086"/>
      <c r="K4" s="2086"/>
      <c r="L4" s="2083"/>
      <c r="M4" s="2083"/>
      <c r="N4" s="2083"/>
      <c r="O4" s="2083"/>
      <c r="P4" s="1825"/>
      <c r="Q4" s="1889"/>
      <c r="R4" s="1891"/>
    </row>
    <row r="5" spans="2:18" ht="12.75" customHeight="1">
      <c r="B5" s="1860" t="s">
        <v>349</v>
      </c>
      <c r="C5" s="1862" t="s">
        <v>164</v>
      </c>
      <c r="D5" s="2087" t="s">
        <v>1414</v>
      </c>
      <c r="E5" s="2088"/>
      <c r="F5" s="2088"/>
      <c r="G5" s="2088"/>
      <c r="H5" s="2088"/>
      <c r="I5" s="2088"/>
      <c r="J5" s="2088"/>
      <c r="K5" s="2089"/>
      <c r="L5" s="1862" t="s">
        <v>1415</v>
      </c>
      <c r="M5" s="1862"/>
      <c r="N5" s="1862"/>
      <c r="O5" s="1862"/>
      <c r="P5" s="1862"/>
      <c r="Q5" s="1862"/>
      <c r="R5" s="1865"/>
    </row>
    <row r="6" spans="2:18" ht="12.75">
      <c r="B6" s="1866"/>
      <c r="C6" s="1867"/>
      <c r="D6" s="2090" t="s">
        <v>1564</v>
      </c>
      <c r="E6" s="1867" t="s">
        <v>500</v>
      </c>
      <c r="F6" s="1867" t="s">
        <v>513</v>
      </c>
      <c r="G6" s="1867" t="s">
        <v>514</v>
      </c>
      <c r="H6" s="1863"/>
      <c r="I6" s="1863"/>
      <c r="J6" s="1863"/>
      <c r="K6" s="1863"/>
      <c r="L6" s="1867" t="s">
        <v>500</v>
      </c>
      <c r="M6" s="1867" t="s">
        <v>513</v>
      </c>
      <c r="N6" s="1867" t="s">
        <v>514</v>
      </c>
      <c r="O6" s="1863"/>
      <c r="P6" s="1863"/>
      <c r="Q6" s="1863"/>
      <c r="R6" s="1869"/>
    </row>
    <row r="7" spans="2:18" ht="38.25">
      <c r="B7" s="1866"/>
      <c r="C7" s="1867"/>
      <c r="D7" s="1875"/>
      <c r="E7" s="1863"/>
      <c r="F7" s="1863"/>
      <c r="G7" s="1" t="s">
        <v>501</v>
      </c>
      <c r="H7" s="1" t="s">
        <v>502</v>
      </c>
      <c r="I7" s="1" t="s">
        <v>503</v>
      </c>
      <c r="J7" s="1" t="s">
        <v>504</v>
      </c>
      <c r="K7" s="1" t="s">
        <v>512</v>
      </c>
      <c r="L7" s="1863"/>
      <c r="M7" s="1863"/>
      <c r="N7" s="1" t="s">
        <v>501</v>
      </c>
      <c r="O7" s="1" t="s">
        <v>502</v>
      </c>
      <c r="P7" s="1" t="s">
        <v>503</v>
      </c>
      <c r="Q7" s="1" t="s">
        <v>504</v>
      </c>
      <c r="R7" s="6" t="s">
        <v>512</v>
      </c>
    </row>
    <row r="8" spans="2:18" ht="12.75">
      <c r="B8" s="5">
        <v>1</v>
      </c>
      <c r="C8" s="1">
        <v>2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21">
        <v>18</v>
      </c>
    </row>
    <row r="9" spans="2:18" ht="25.5">
      <c r="B9" s="118" t="s">
        <v>540</v>
      </c>
      <c r="C9" s="2" t="s">
        <v>528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2:18" ht="12.75">
      <c r="B10" s="118"/>
      <c r="C10" s="60" t="s">
        <v>529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2:18" ht="12.75">
      <c r="B11" s="118"/>
      <c r="C11" s="60" t="s">
        <v>530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</row>
    <row r="12" spans="2:18" ht="12.75">
      <c r="B12" s="118"/>
      <c r="C12" s="60" t="s">
        <v>531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2:18" ht="12.75">
      <c r="B13" s="118"/>
      <c r="C13" s="60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</row>
    <row r="14" spans="2:18" ht="25.5">
      <c r="B14" s="118">
        <v>2</v>
      </c>
      <c r="C14" s="60" t="s">
        <v>543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</row>
    <row r="15" spans="2:18" ht="12.75">
      <c r="B15" s="118"/>
      <c r="C15" s="60" t="s">
        <v>544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2:18" ht="25.5">
      <c r="B16" s="118">
        <v>3</v>
      </c>
      <c r="C16" s="60" t="s">
        <v>532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</row>
    <row r="17" spans="2:18" ht="25.5">
      <c r="B17" s="118">
        <v>4</v>
      </c>
      <c r="C17" s="60" t="s">
        <v>533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</row>
    <row r="18" spans="2:18" ht="12.75">
      <c r="B18" s="118" t="s">
        <v>160</v>
      </c>
      <c r="C18" s="60" t="s">
        <v>534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2:18" ht="12.75">
      <c r="B19" s="118" t="s">
        <v>539</v>
      </c>
      <c r="C19" s="60" t="s">
        <v>535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</row>
    <row r="20" spans="2:18" ht="12.75">
      <c r="B20" s="118" t="s">
        <v>542</v>
      </c>
      <c r="C20" s="60" t="s">
        <v>536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</row>
    <row r="21" spans="2:18" ht="27.75" customHeight="1" thickBot="1">
      <c r="B21" s="119">
        <v>5</v>
      </c>
      <c r="C21" s="62" t="s">
        <v>538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22" ht="12.75">
      <c r="C22" s="117"/>
    </row>
    <row r="23" spans="2:9" ht="12.75">
      <c r="B23" s="2084" t="s">
        <v>222</v>
      </c>
      <c r="C23" s="1972"/>
      <c r="D23" s="1972"/>
      <c r="E23" s="1972"/>
      <c r="F23" s="1972"/>
      <c r="G23" s="1972"/>
      <c r="H23" s="1972"/>
      <c r="I23" s="1972"/>
    </row>
    <row r="24" ht="12.75">
      <c r="C24" s="117"/>
    </row>
    <row r="25" ht="12.75">
      <c r="C25" s="117"/>
    </row>
    <row r="26" ht="12.75">
      <c r="C26" s="117"/>
    </row>
    <row r="27" ht="12.75">
      <c r="C27" s="117"/>
    </row>
    <row r="28" ht="12.75">
      <c r="C28" s="117"/>
    </row>
    <row r="29" ht="12.75">
      <c r="C29" s="117"/>
    </row>
    <row r="30" ht="12.75">
      <c r="C30" s="117"/>
    </row>
    <row r="31" ht="12.75">
      <c r="C31" s="117"/>
    </row>
    <row r="32" ht="12.75">
      <c r="C32" s="117"/>
    </row>
    <row r="33" ht="12.75">
      <c r="C33" s="117"/>
    </row>
    <row r="34" ht="12.75">
      <c r="C34" s="117"/>
    </row>
    <row r="35" ht="13.5">
      <c r="C35" s="55"/>
    </row>
    <row r="36" ht="13.5">
      <c r="C36" s="55"/>
    </row>
    <row r="37" ht="13.5">
      <c r="C37" s="55"/>
    </row>
    <row r="38" ht="13.5">
      <c r="C38" s="55"/>
    </row>
    <row r="39" ht="13.5">
      <c r="C39" s="55"/>
    </row>
    <row r="40" ht="13.5">
      <c r="C40" s="55"/>
    </row>
    <row r="41" ht="13.5">
      <c r="C41" s="55"/>
    </row>
    <row r="42" ht="13.5">
      <c r="C42" s="55"/>
    </row>
    <row r="43" ht="13.5">
      <c r="C43" s="55"/>
    </row>
    <row r="44" ht="13.5">
      <c r="C44" s="55"/>
    </row>
    <row r="45" ht="13.5">
      <c r="C45" s="55"/>
    </row>
    <row r="46" ht="13.5">
      <c r="C46" s="55"/>
    </row>
    <row r="47" ht="13.5">
      <c r="C47" s="55"/>
    </row>
    <row r="48" ht="13.5">
      <c r="C48" s="55"/>
    </row>
    <row r="49" ht="13.5">
      <c r="C49" s="55"/>
    </row>
    <row r="50" ht="13.5">
      <c r="C50" s="55"/>
    </row>
    <row r="51" ht="13.5">
      <c r="C51" s="55"/>
    </row>
    <row r="52" ht="13.5">
      <c r="C52" s="55"/>
    </row>
    <row r="53" ht="15.75">
      <c r="C53" s="12"/>
    </row>
  </sheetData>
  <sheetProtection/>
  <mergeCells count="15">
    <mergeCell ref="B23:I23"/>
    <mergeCell ref="B3:K4"/>
    <mergeCell ref="D5:K5"/>
    <mergeCell ref="D6:D7"/>
    <mergeCell ref="G6:K6"/>
    <mergeCell ref="B5:B7"/>
    <mergeCell ref="C5:C7"/>
    <mergeCell ref="E6:E7"/>
    <mergeCell ref="F6:F7"/>
    <mergeCell ref="L3:P4"/>
    <mergeCell ref="M6:M7"/>
    <mergeCell ref="N6:R6"/>
    <mergeCell ref="Q3:R4"/>
    <mergeCell ref="L6:L7"/>
    <mergeCell ref="L5:R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zoomScalePageLayoutView="0" workbookViewId="0" topLeftCell="A19">
      <selection activeCell="Q72" sqref="Q7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1.375" style="0" customWidth="1"/>
    <col min="5" max="5" width="12.875" style="0" customWidth="1"/>
    <col min="6" max="7" width="11.75390625" style="0" customWidth="1"/>
    <col min="8" max="8" width="10.75390625" style="0" customWidth="1"/>
    <col min="9" max="10" width="12.25390625" style="0" customWidth="1"/>
    <col min="11" max="11" width="13.25390625" style="0" customWidth="1"/>
    <col min="12" max="12" width="14.125" style="0" customWidth="1"/>
    <col min="13" max="13" width="11.00390625" style="0" customWidth="1"/>
    <col min="14" max="14" width="10.375" style="0" customWidth="1"/>
    <col min="15" max="15" width="7.375" style="0" customWidth="1"/>
  </cols>
  <sheetData>
    <row r="2" spans="2:11" ht="12.75">
      <c r="B2" s="746"/>
      <c r="C2" s="746" t="s">
        <v>2528</v>
      </c>
      <c r="D2" s="746"/>
      <c r="E2" s="746"/>
      <c r="F2" s="746"/>
      <c r="G2" s="746"/>
      <c r="H2" s="746"/>
      <c r="I2" s="747" t="s">
        <v>555</v>
      </c>
      <c r="J2" s="747"/>
      <c r="K2" s="748"/>
    </row>
    <row r="3" spans="2:16" ht="27.75" customHeight="1">
      <c r="B3" s="2099" t="s">
        <v>2283</v>
      </c>
      <c r="C3" s="2099"/>
      <c r="D3" s="2099"/>
      <c r="E3" s="2099"/>
      <c r="F3" s="2099"/>
      <c r="G3" s="2099"/>
      <c r="H3" s="2099"/>
      <c r="I3" s="2099"/>
      <c r="J3" s="1298"/>
      <c r="K3" s="824"/>
      <c r="L3" s="120"/>
      <c r="M3" s="120"/>
      <c r="N3" s="120"/>
      <c r="O3" s="120"/>
      <c r="P3" s="120"/>
    </row>
    <row r="4" spans="2:11" ht="42.75" customHeight="1">
      <c r="B4" s="2101" t="s">
        <v>556</v>
      </c>
      <c r="C4" s="2101"/>
      <c r="D4" s="2101"/>
      <c r="E4" s="2101"/>
      <c r="F4" s="2101"/>
      <c r="G4" s="2101"/>
      <c r="H4" s="823"/>
      <c r="I4" s="823"/>
      <c r="J4" s="823"/>
      <c r="K4" s="823"/>
    </row>
    <row r="5" spans="2:14" ht="19.5" customHeight="1">
      <c r="B5" s="1171"/>
      <c r="C5" s="1171"/>
      <c r="D5" s="1171"/>
      <c r="E5" s="1171"/>
      <c r="F5" s="1171"/>
      <c r="G5" s="1171"/>
      <c r="H5" s="2106">
        <v>2014</v>
      </c>
      <c r="I5" s="2106"/>
      <c r="J5" s="823"/>
      <c r="K5" s="2102" t="s">
        <v>375</v>
      </c>
      <c r="L5" s="2103"/>
      <c r="M5" s="2104" t="s">
        <v>376</v>
      </c>
      <c r="N5" s="2105"/>
    </row>
    <row r="6" spans="2:15" ht="63" customHeight="1">
      <c r="B6" s="2100"/>
      <c r="C6" s="2091" t="s">
        <v>557</v>
      </c>
      <c r="D6" s="2091" t="s">
        <v>558</v>
      </c>
      <c r="E6" s="2091" t="s">
        <v>559</v>
      </c>
      <c r="F6" s="750" t="s">
        <v>560</v>
      </c>
      <c r="G6" s="1331" t="s">
        <v>377</v>
      </c>
      <c r="H6" s="750" t="s">
        <v>561</v>
      </c>
      <c r="I6" s="750" t="s">
        <v>562</v>
      </c>
      <c r="J6" s="761"/>
      <c r="K6" s="750" t="s">
        <v>561</v>
      </c>
      <c r="L6" s="795" t="s">
        <v>562</v>
      </c>
      <c r="M6" s="795" t="s">
        <v>561</v>
      </c>
      <c r="N6" s="794" t="s">
        <v>562</v>
      </c>
      <c r="O6" s="551"/>
    </row>
    <row r="7" spans="2:15" ht="10.5" customHeight="1">
      <c r="B7" s="2100"/>
      <c r="C7" s="2091"/>
      <c r="D7" s="2091"/>
      <c r="E7" s="2091"/>
      <c r="F7" s="750" t="s">
        <v>563</v>
      </c>
      <c r="G7" s="750"/>
      <c r="H7" s="750" t="s">
        <v>564</v>
      </c>
      <c r="I7" s="750" t="s">
        <v>565</v>
      </c>
      <c r="J7" s="761"/>
      <c r="K7" s="1325" t="s">
        <v>564</v>
      </c>
      <c r="L7" s="1326" t="s">
        <v>565</v>
      </c>
      <c r="M7" s="1326"/>
      <c r="N7" s="1326"/>
      <c r="O7" s="741"/>
    </row>
    <row r="8" spans="2:14" ht="10.5" customHeight="1">
      <c r="B8" s="750">
        <v>1</v>
      </c>
      <c r="C8" s="750">
        <f>+B8+1</f>
        <v>2</v>
      </c>
      <c r="D8" s="750">
        <f>+C8+1</f>
        <v>3</v>
      </c>
      <c r="E8" s="750">
        <f>+D8+1</f>
        <v>4</v>
      </c>
      <c r="F8" s="750">
        <f>+E8+1</f>
        <v>5</v>
      </c>
      <c r="G8" s="750"/>
      <c r="H8" s="750">
        <f>+F8+1</f>
        <v>6</v>
      </c>
      <c r="I8" s="750" t="s">
        <v>566</v>
      </c>
      <c r="J8" s="761"/>
      <c r="K8" s="1327">
        <v>6</v>
      </c>
      <c r="L8" s="66" t="s">
        <v>566</v>
      </c>
      <c r="M8" s="66"/>
      <c r="N8" s="66"/>
    </row>
    <row r="9" spans="2:14" ht="12.75">
      <c r="B9" s="2096" t="s">
        <v>567</v>
      </c>
      <c r="C9" s="751">
        <v>1150</v>
      </c>
      <c r="D9" s="750" t="s">
        <v>568</v>
      </c>
      <c r="E9" s="750" t="s">
        <v>569</v>
      </c>
      <c r="F9" s="750">
        <v>800</v>
      </c>
      <c r="G9" s="750"/>
      <c r="H9" s="752"/>
      <c r="I9" s="750">
        <f aca="true" t="shared" si="0" ref="I9:I28">F9*H9/100</f>
        <v>0</v>
      </c>
      <c r="J9" s="761"/>
      <c r="K9" s="1327"/>
      <c r="L9" s="66">
        <v>0</v>
      </c>
      <c r="M9" s="66"/>
      <c r="N9" s="66"/>
    </row>
    <row r="10" spans="2:14" ht="12.75">
      <c r="B10" s="2096"/>
      <c r="C10" s="751">
        <v>750</v>
      </c>
      <c r="D10" s="750">
        <v>1</v>
      </c>
      <c r="E10" s="750" t="s">
        <v>569</v>
      </c>
      <c r="F10" s="750">
        <v>600</v>
      </c>
      <c r="G10" s="750"/>
      <c r="H10" s="752"/>
      <c r="I10" s="750">
        <f t="shared" si="0"/>
        <v>0</v>
      </c>
      <c r="J10" s="761"/>
      <c r="K10" s="1327"/>
      <c r="L10" s="66">
        <v>0</v>
      </c>
      <c r="M10" s="66"/>
      <c r="N10" s="66"/>
    </row>
    <row r="11" spans="2:14" ht="12.75">
      <c r="B11" s="2096"/>
      <c r="C11" s="2097" t="s">
        <v>2264</v>
      </c>
      <c r="D11" s="2091">
        <v>1</v>
      </c>
      <c r="E11" s="750" t="s">
        <v>569</v>
      </c>
      <c r="F11" s="750">
        <v>400</v>
      </c>
      <c r="G11" s="750"/>
      <c r="H11" s="752"/>
      <c r="I11" s="750">
        <f t="shared" si="0"/>
        <v>0</v>
      </c>
      <c r="J11" s="761"/>
      <c r="K11" s="1327"/>
      <c r="L11" s="66">
        <v>0</v>
      </c>
      <c r="M11" s="66"/>
      <c r="N11" s="66"/>
    </row>
    <row r="12" spans="2:14" ht="12.75">
      <c r="B12" s="2096"/>
      <c r="C12" s="2097"/>
      <c r="D12" s="2091"/>
      <c r="E12" s="750" t="s">
        <v>2265</v>
      </c>
      <c r="F12" s="750">
        <v>300</v>
      </c>
      <c r="G12" s="750"/>
      <c r="H12" s="752"/>
      <c r="I12" s="750">
        <f t="shared" si="0"/>
        <v>0</v>
      </c>
      <c r="J12" s="761"/>
      <c r="K12" s="1327"/>
      <c r="L12" s="66">
        <v>0</v>
      </c>
      <c r="M12" s="66"/>
      <c r="N12" s="66"/>
    </row>
    <row r="13" spans="2:14" ht="12.75">
      <c r="B13" s="2096"/>
      <c r="C13" s="2097">
        <v>330</v>
      </c>
      <c r="D13" s="2091">
        <v>1</v>
      </c>
      <c r="E13" s="750" t="s">
        <v>569</v>
      </c>
      <c r="F13" s="750">
        <v>230</v>
      </c>
      <c r="G13" s="750"/>
      <c r="H13" s="752"/>
      <c r="I13" s="750">
        <f t="shared" si="0"/>
        <v>0</v>
      </c>
      <c r="J13" s="761"/>
      <c r="K13" s="1327"/>
      <c r="L13" s="66">
        <v>0</v>
      </c>
      <c r="M13" s="66"/>
      <c r="N13" s="66"/>
    </row>
    <row r="14" spans="2:14" ht="12.75">
      <c r="B14" s="2096"/>
      <c r="C14" s="2097"/>
      <c r="D14" s="2091"/>
      <c r="E14" s="750" t="s">
        <v>2265</v>
      </c>
      <c r="F14" s="750">
        <v>170</v>
      </c>
      <c r="G14" s="750"/>
      <c r="H14" s="752"/>
      <c r="I14" s="750">
        <f t="shared" si="0"/>
        <v>0</v>
      </c>
      <c r="J14" s="761"/>
      <c r="K14" s="1327"/>
      <c r="L14" s="66">
        <v>0</v>
      </c>
      <c r="M14" s="66"/>
      <c r="N14" s="66"/>
    </row>
    <row r="15" spans="2:14" ht="12.75">
      <c r="B15" s="2096"/>
      <c r="C15" s="2097"/>
      <c r="D15" s="2091">
        <v>2</v>
      </c>
      <c r="E15" s="750" t="s">
        <v>569</v>
      </c>
      <c r="F15" s="750">
        <v>290</v>
      </c>
      <c r="G15" s="750"/>
      <c r="H15" s="752"/>
      <c r="I15" s="750">
        <f t="shared" si="0"/>
        <v>0</v>
      </c>
      <c r="J15" s="761"/>
      <c r="K15" s="1327"/>
      <c r="L15" s="66">
        <v>0</v>
      </c>
      <c r="M15" s="66"/>
      <c r="N15" s="66"/>
    </row>
    <row r="16" spans="2:14" ht="12.75">
      <c r="B16" s="2096"/>
      <c r="C16" s="2097"/>
      <c r="D16" s="2091"/>
      <c r="E16" s="750" t="s">
        <v>2265</v>
      </c>
      <c r="F16" s="750">
        <v>210</v>
      </c>
      <c r="G16" s="750"/>
      <c r="H16" s="752"/>
      <c r="I16" s="750">
        <f t="shared" si="0"/>
        <v>0</v>
      </c>
      <c r="J16" s="761"/>
      <c r="K16" s="1327"/>
      <c r="L16" s="66">
        <v>0</v>
      </c>
      <c r="M16" s="66"/>
      <c r="N16" s="66"/>
    </row>
    <row r="17" spans="2:14" ht="12.75">
      <c r="B17" s="2096"/>
      <c r="C17" s="2095">
        <v>220</v>
      </c>
      <c r="D17" s="2096">
        <v>1</v>
      </c>
      <c r="E17" s="750" t="s">
        <v>2266</v>
      </c>
      <c r="F17" s="749">
        <v>260</v>
      </c>
      <c r="G17" s="749"/>
      <c r="H17" s="754"/>
      <c r="I17" s="750">
        <f t="shared" si="0"/>
        <v>0</v>
      </c>
      <c r="J17" s="761"/>
      <c r="K17" s="1327"/>
      <c r="L17" s="66">
        <v>0</v>
      </c>
      <c r="M17" s="66"/>
      <c r="N17" s="66"/>
    </row>
    <row r="18" spans="2:14" ht="12.75">
      <c r="B18" s="2096"/>
      <c r="C18" s="2095"/>
      <c r="D18" s="2096"/>
      <c r="E18" s="750" t="s">
        <v>569</v>
      </c>
      <c r="F18" s="749">
        <v>210</v>
      </c>
      <c r="G18" s="749"/>
      <c r="H18" s="755"/>
      <c r="I18" s="750">
        <f t="shared" si="0"/>
        <v>0</v>
      </c>
      <c r="J18" s="761"/>
      <c r="K18" s="1327"/>
      <c r="L18" s="66">
        <v>0</v>
      </c>
      <c r="M18" s="66"/>
      <c r="N18" s="66"/>
    </row>
    <row r="19" spans="2:14" ht="12.75">
      <c r="B19" s="2096"/>
      <c r="C19" s="2095"/>
      <c r="D19" s="2096"/>
      <c r="E19" s="750" t="s">
        <v>2265</v>
      </c>
      <c r="F19" s="749">
        <v>140</v>
      </c>
      <c r="G19" s="749"/>
      <c r="H19" s="755"/>
      <c r="I19" s="750">
        <f t="shared" si="0"/>
        <v>0</v>
      </c>
      <c r="J19" s="761"/>
      <c r="K19" s="1327"/>
      <c r="L19" s="66">
        <v>0</v>
      </c>
      <c r="M19" s="66"/>
      <c r="N19" s="66"/>
    </row>
    <row r="20" spans="2:14" ht="12.75">
      <c r="B20" s="2096"/>
      <c r="C20" s="2095"/>
      <c r="D20" s="2096">
        <v>2</v>
      </c>
      <c r="E20" s="750" t="s">
        <v>569</v>
      </c>
      <c r="F20" s="749">
        <v>270</v>
      </c>
      <c r="G20" s="749"/>
      <c r="H20" s="755"/>
      <c r="I20" s="750">
        <f t="shared" si="0"/>
        <v>0</v>
      </c>
      <c r="J20" s="761"/>
      <c r="K20" s="1327"/>
      <c r="L20" s="66">
        <v>0</v>
      </c>
      <c r="M20" s="66"/>
      <c r="N20" s="66"/>
    </row>
    <row r="21" spans="2:14" ht="12.75">
      <c r="B21" s="2096"/>
      <c r="C21" s="2095"/>
      <c r="D21" s="2096"/>
      <c r="E21" s="750" t="s">
        <v>2265</v>
      </c>
      <c r="F21" s="749">
        <v>180</v>
      </c>
      <c r="G21" s="749"/>
      <c r="H21" s="755"/>
      <c r="I21" s="750">
        <f t="shared" si="0"/>
        <v>0</v>
      </c>
      <c r="J21" s="761"/>
      <c r="K21" s="1327"/>
      <c r="L21" s="66">
        <v>0</v>
      </c>
      <c r="M21" s="66"/>
      <c r="N21" s="66"/>
    </row>
    <row r="22" spans="2:14" ht="12.75">
      <c r="B22" s="2096"/>
      <c r="C22" s="2095" t="s">
        <v>2267</v>
      </c>
      <c r="D22" s="2096">
        <v>1</v>
      </c>
      <c r="E22" s="750" t="s">
        <v>2266</v>
      </c>
      <c r="F22" s="749">
        <v>180</v>
      </c>
      <c r="G22" s="749"/>
      <c r="H22" s="789"/>
      <c r="I22" s="750">
        <f t="shared" si="0"/>
        <v>0</v>
      </c>
      <c r="J22" s="761"/>
      <c r="K22" s="1327"/>
      <c r="L22" s="66">
        <v>0</v>
      </c>
      <c r="M22" s="66"/>
      <c r="N22" s="66"/>
    </row>
    <row r="23" spans="2:14" ht="12.75">
      <c r="B23" s="2096"/>
      <c r="C23" s="2095"/>
      <c r="D23" s="2096"/>
      <c r="E23" s="750" t="s">
        <v>569</v>
      </c>
      <c r="F23" s="749">
        <v>160</v>
      </c>
      <c r="G23" s="749"/>
      <c r="H23" s="790"/>
      <c r="I23" s="750">
        <f t="shared" si="0"/>
        <v>0</v>
      </c>
      <c r="J23" s="761"/>
      <c r="K23" s="1327"/>
      <c r="L23" s="66">
        <v>0</v>
      </c>
      <c r="M23" s="66"/>
      <c r="N23" s="66"/>
    </row>
    <row r="24" spans="2:14" ht="12.75">
      <c r="B24" s="2096"/>
      <c r="C24" s="2095"/>
      <c r="D24" s="2096"/>
      <c r="E24" s="750" t="s">
        <v>2265</v>
      </c>
      <c r="F24" s="749">
        <v>130</v>
      </c>
      <c r="G24" s="749"/>
      <c r="H24" s="790"/>
      <c r="I24" s="750">
        <f t="shared" si="0"/>
        <v>0</v>
      </c>
      <c r="J24" s="761"/>
      <c r="K24" s="1327"/>
      <c r="L24" s="66">
        <v>0</v>
      </c>
      <c r="M24" s="66"/>
      <c r="N24" s="66"/>
    </row>
    <row r="25" spans="2:14" ht="12.75">
      <c r="B25" s="2096"/>
      <c r="C25" s="2095"/>
      <c r="D25" s="2096">
        <v>2</v>
      </c>
      <c r="E25" s="750" t="s">
        <v>569</v>
      </c>
      <c r="F25" s="749">
        <v>190</v>
      </c>
      <c r="G25" s="749"/>
      <c r="H25" s="790"/>
      <c r="I25" s="750">
        <f t="shared" si="0"/>
        <v>0</v>
      </c>
      <c r="J25" s="761"/>
      <c r="K25" s="1327"/>
      <c r="L25" s="66">
        <v>0</v>
      </c>
      <c r="M25" s="66"/>
      <c r="N25" s="66"/>
    </row>
    <row r="26" spans="2:14" ht="10.5" customHeight="1">
      <c r="B26" s="2096"/>
      <c r="C26" s="2095"/>
      <c r="D26" s="2096"/>
      <c r="E26" s="750" t="s">
        <v>2265</v>
      </c>
      <c r="F26" s="749">
        <v>160</v>
      </c>
      <c r="G26" s="749"/>
      <c r="H26" s="790"/>
      <c r="I26" s="750">
        <f t="shared" si="0"/>
        <v>0</v>
      </c>
      <c r="J26" s="761"/>
      <c r="K26" s="1327"/>
      <c r="L26" s="66">
        <v>0</v>
      </c>
      <c r="M26" s="66"/>
      <c r="N26" s="66"/>
    </row>
    <row r="27" spans="2:14" ht="12.75">
      <c r="B27" s="2096" t="s">
        <v>2268</v>
      </c>
      <c r="C27" s="753">
        <v>220</v>
      </c>
      <c r="D27" s="750" t="s">
        <v>568</v>
      </c>
      <c r="E27" s="750" t="s">
        <v>568</v>
      </c>
      <c r="F27" s="749">
        <v>3000</v>
      </c>
      <c r="G27" s="749"/>
      <c r="H27" s="790"/>
      <c r="I27" s="750">
        <f t="shared" si="0"/>
        <v>0</v>
      </c>
      <c r="J27" s="761"/>
      <c r="K27" s="1327"/>
      <c r="L27" s="66">
        <v>0</v>
      </c>
      <c r="M27" s="66"/>
      <c r="N27" s="66"/>
    </row>
    <row r="28" spans="2:14" ht="15" customHeight="1">
      <c r="B28" s="2096"/>
      <c r="C28" s="753">
        <v>110</v>
      </c>
      <c r="D28" s="750" t="s">
        <v>568</v>
      </c>
      <c r="E28" s="750" t="s">
        <v>568</v>
      </c>
      <c r="F28" s="749">
        <v>2300</v>
      </c>
      <c r="G28" s="749"/>
      <c r="H28" s="790"/>
      <c r="I28" s="750">
        <f t="shared" si="0"/>
        <v>0</v>
      </c>
      <c r="J28" s="761"/>
      <c r="K28" s="1327"/>
      <c r="L28" s="66">
        <v>0</v>
      </c>
      <c r="M28" s="66"/>
      <c r="N28" s="66"/>
    </row>
    <row r="29" spans="2:14" ht="15.75" customHeight="1">
      <c r="B29" s="756" t="s">
        <v>2269</v>
      </c>
      <c r="C29" s="756"/>
      <c r="D29" s="756"/>
      <c r="E29" s="756"/>
      <c r="F29" s="756"/>
      <c r="G29" s="756"/>
      <c r="H29" s="791">
        <f>SUM(H22:H26)+H28</f>
        <v>0</v>
      </c>
      <c r="I29" s="750">
        <f>SUM(I22:I26)+I28</f>
        <v>0</v>
      </c>
      <c r="J29" s="761"/>
      <c r="K29" s="1327">
        <v>0</v>
      </c>
      <c r="L29" s="66">
        <v>0</v>
      </c>
      <c r="M29" s="66"/>
      <c r="N29" s="66"/>
    </row>
    <row r="30" spans="2:14" ht="15" customHeight="1">
      <c r="B30" s="2091" t="s">
        <v>567</v>
      </c>
      <c r="C30" s="2097">
        <v>35</v>
      </c>
      <c r="D30" s="2091">
        <v>1</v>
      </c>
      <c r="E30" s="750" t="s">
        <v>2266</v>
      </c>
      <c r="F30" s="749">
        <v>170</v>
      </c>
      <c r="G30" s="749"/>
      <c r="H30" s="790"/>
      <c r="I30" s="750">
        <f aca="true" t="shared" si="1" ref="I30:I39">F30*H30/100</f>
        <v>0</v>
      </c>
      <c r="J30" s="761"/>
      <c r="K30" s="1327"/>
      <c r="L30" s="66">
        <v>0</v>
      </c>
      <c r="M30" s="66"/>
      <c r="N30" s="66"/>
    </row>
    <row r="31" spans="2:14" ht="16.5" customHeight="1">
      <c r="B31" s="2091"/>
      <c r="C31" s="2097"/>
      <c r="D31" s="2091"/>
      <c r="E31" s="750" t="s">
        <v>569</v>
      </c>
      <c r="F31" s="749">
        <v>140</v>
      </c>
      <c r="G31" s="749"/>
      <c r="H31" s="790"/>
      <c r="I31" s="750">
        <f t="shared" si="1"/>
        <v>0</v>
      </c>
      <c r="J31" s="761"/>
      <c r="K31" s="1327"/>
      <c r="L31" s="66">
        <v>0</v>
      </c>
      <c r="M31" s="66"/>
      <c r="N31" s="66"/>
    </row>
    <row r="32" spans="2:14" ht="10.5" customHeight="1">
      <c r="B32" s="2091"/>
      <c r="C32" s="2097"/>
      <c r="D32" s="2091"/>
      <c r="E32" s="750" t="s">
        <v>2265</v>
      </c>
      <c r="F32" s="749">
        <v>120</v>
      </c>
      <c r="G32" s="749"/>
      <c r="H32" s="790"/>
      <c r="I32" s="750">
        <f t="shared" si="1"/>
        <v>0</v>
      </c>
      <c r="J32" s="761"/>
      <c r="K32" s="1327"/>
      <c r="L32" s="66">
        <v>0</v>
      </c>
      <c r="M32" s="66"/>
      <c r="N32" s="66"/>
    </row>
    <row r="33" spans="2:17" ht="12.75">
      <c r="B33" s="2091"/>
      <c r="C33" s="2097"/>
      <c r="D33" s="2091">
        <v>2</v>
      </c>
      <c r="E33" s="750" t="s">
        <v>569</v>
      </c>
      <c r="F33" s="749">
        <v>180</v>
      </c>
      <c r="G33" s="749"/>
      <c r="H33" s="790"/>
      <c r="I33" s="750">
        <f t="shared" si="1"/>
        <v>0</v>
      </c>
      <c r="J33" s="761"/>
      <c r="K33" s="1327"/>
      <c r="L33" s="66">
        <v>0</v>
      </c>
      <c r="M33" s="66"/>
      <c r="N33" s="66"/>
      <c r="O33" s="15"/>
      <c r="P33" s="15"/>
      <c r="Q33" s="15"/>
    </row>
    <row r="34" spans="2:17" ht="9.75" customHeight="1">
      <c r="B34" s="2091"/>
      <c r="C34" s="2097"/>
      <c r="D34" s="2091"/>
      <c r="E34" s="750" t="s">
        <v>2265</v>
      </c>
      <c r="F34" s="749">
        <v>150</v>
      </c>
      <c r="G34" s="749"/>
      <c r="H34" s="790"/>
      <c r="I34" s="750">
        <f t="shared" si="1"/>
        <v>0</v>
      </c>
      <c r="J34" s="761"/>
      <c r="K34" s="1327"/>
      <c r="L34" s="66">
        <v>0</v>
      </c>
      <c r="M34" s="66"/>
      <c r="N34" s="66"/>
      <c r="O34" s="15"/>
      <c r="P34" s="2107"/>
      <c r="Q34" s="15"/>
    </row>
    <row r="35" spans="2:17" ht="12.75">
      <c r="B35" s="2091"/>
      <c r="C35" s="2098" t="s">
        <v>2270</v>
      </c>
      <c r="D35" s="2091" t="s">
        <v>568</v>
      </c>
      <c r="E35" s="749" t="s">
        <v>2266</v>
      </c>
      <c r="F35" s="749">
        <v>160</v>
      </c>
      <c r="G35" s="749"/>
      <c r="H35" s="790"/>
      <c r="I35" s="750">
        <f t="shared" si="1"/>
        <v>0</v>
      </c>
      <c r="J35" s="761"/>
      <c r="K35" s="1327"/>
      <c r="L35" s="66">
        <v>0</v>
      </c>
      <c r="M35" s="66"/>
      <c r="N35" s="66"/>
      <c r="O35" s="15"/>
      <c r="P35" s="2107"/>
      <c r="Q35" s="15"/>
    </row>
    <row r="36" spans="2:17" ht="20.25" customHeight="1">
      <c r="B36" s="2091"/>
      <c r="C36" s="2098"/>
      <c r="D36" s="2091"/>
      <c r="E36" s="758" t="s">
        <v>2271</v>
      </c>
      <c r="F36" s="749">
        <v>140</v>
      </c>
      <c r="G36" s="749"/>
      <c r="H36" s="790"/>
      <c r="I36" s="750">
        <f t="shared" si="1"/>
        <v>0</v>
      </c>
      <c r="J36" s="761"/>
      <c r="K36" s="1327"/>
      <c r="L36" s="66">
        <v>0</v>
      </c>
      <c r="M36" s="66"/>
      <c r="N36" s="66"/>
      <c r="O36" s="15"/>
      <c r="P36" s="142"/>
      <c r="Q36" s="15"/>
    </row>
    <row r="37" spans="2:17" ht="20.25" customHeight="1">
      <c r="B37" s="2091"/>
      <c r="C37" s="2098"/>
      <c r="D37" s="2091"/>
      <c r="E37" s="758" t="s">
        <v>2272</v>
      </c>
      <c r="F37" s="749">
        <v>110</v>
      </c>
      <c r="G37" s="749"/>
      <c r="H37" s="790"/>
      <c r="I37" s="750">
        <f t="shared" si="1"/>
        <v>0</v>
      </c>
      <c r="J37" s="761"/>
      <c r="K37" s="1327"/>
      <c r="L37" s="66">
        <v>0</v>
      </c>
      <c r="M37" s="66"/>
      <c r="N37" s="66"/>
      <c r="O37" s="15"/>
      <c r="P37" s="142"/>
      <c r="Q37" s="15"/>
    </row>
    <row r="38" spans="2:17" ht="12.75">
      <c r="B38" s="2096" t="s">
        <v>2268</v>
      </c>
      <c r="C38" s="753" t="s">
        <v>2273</v>
      </c>
      <c r="D38" s="750" t="s">
        <v>568</v>
      </c>
      <c r="E38" s="750" t="s">
        <v>568</v>
      </c>
      <c r="F38" s="749">
        <v>470</v>
      </c>
      <c r="G38" s="749"/>
      <c r="H38" s="790"/>
      <c r="I38" s="750">
        <f t="shared" si="1"/>
        <v>0</v>
      </c>
      <c r="J38" s="761"/>
      <c r="K38" s="1327"/>
      <c r="L38" s="1328">
        <v>0</v>
      </c>
      <c r="M38" s="66"/>
      <c r="N38" s="1328"/>
      <c r="O38" s="552"/>
      <c r="P38" s="142"/>
      <c r="Q38" s="15"/>
    </row>
    <row r="39" spans="2:17" ht="13.5" customHeight="1">
      <c r="B39" s="2096"/>
      <c r="C39" s="753" t="s">
        <v>2274</v>
      </c>
      <c r="D39" s="750" t="s">
        <v>568</v>
      </c>
      <c r="E39" s="750" t="s">
        <v>568</v>
      </c>
      <c r="F39" s="749">
        <v>350</v>
      </c>
      <c r="G39" s="749">
        <v>8.4</v>
      </c>
      <c r="H39" s="790">
        <f>Лист3!Y172/1000</f>
        <v>7.343</v>
      </c>
      <c r="I39" s="821">
        <f t="shared" si="1"/>
        <v>25.7005</v>
      </c>
      <c r="J39" s="1323"/>
      <c r="K39" s="1336">
        <v>6.316</v>
      </c>
      <c r="L39" s="1328">
        <v>22.105999999999998</v>
      </c>
      <c r="M39" s="66">
        <v>5.682</v>
      </c>
      <c r="N39" s="1328">
        <v>19.89</v>
      </c>
      <c r="O39" s="552"/>
      <c r="P39" s="142"/>
      <c r="Q39" s="15"/>
    </row>
    <row r="40" spans="2:17" ht="15" customHeight="1">
      <c r="B40" s="756" t="s">
        <v>2275</v>
      </c>
      <c r="C40" s="756"/>
      <c r="D40" s="756"/>
      <c r="E40" s="756"/>
      <c r="F40" s="756"/>
      <c r="G40" s="756"/>
      <c r="H40" s="791"/>
      <c r="I40" s="822">
        <f>SUM(I30:I39)</f>
        <v>25.7005</v>
      </c>
      <c r="J40" s="1324"/>
      <c r="K40" s="749"/>
      <c r="L40" s="66">
        <v>22.105999999999998</v>
      </c>
      <c r="M40" s="66"/>
      <c r="N40" s="66"/>
      <c r="O40" s="15"/>
      <c r="P40" s="142"/>
      <c r="Q40" s="15"/>
    </row>
    <row r="41" spans="2:17" ht="15.75" customHeight="1">
      <c r="B41" s="756" t="s">
        <v>2276</v>
      </c>
      <c r="C41" s="756"/>
      <c r="D41" s="756"/>
      <c r="E41" s="756"/>
      <c r="F41" s="756"/>
      <c r="G41" s="756"/>
      <c r="H41" s="790">
        <f>SUM(H30:H34)+H38</f>
        <v>0</v>
      </c>
      <c r="I41" s="822">
        <f>SUM(I30:I34)+I38</f>
        <v>0</v>
      </c>
      <c r="J41" s="1324"/>
      <c r="K41" s="749">
        <v>0</v>
      </c>
      <c r="L41" s="66">
        <v>0</v>
      </c>
      <c r="M41" s="66"/>
      <c r="N41" s="66"/>
      <c r="O41" s="15"/>
      <c r="P41" s="142"/>
      <c r="Q41" s="15"/>
    </row>
    <row r="42" spans="2:17" ht="21" customHeight="1">
      <c r="B42" s="756" t="s">
        <v>2277</v>
      </c>
      <c r="C42" s="756"/>
      <c r="D42" s="756"/>
      <c r="E42" s="756"/>
      <c r="F42" s="756"/>
      <c r="G42" s="790">
        <f>SUM(G35:G37)+G39</f>
        <v>8.4</v>
      </c>
      <c r="H42" s="790">
        <f>SUM(H35:H37)+H39</f>
        <v>7.343</v>
      </c>
      <c r="I42" s="822">
        <f>SUM(I35:I37)+I39</f>
        <v>25.7005</v>
      </c>
      <c r="J42" s="1324"/>
      <c r="K42" s="790">
        <v>6.316</v>
      </c>
      <c r="L42" s="1329">
        <v>22.105999999999998</v>
      </c>
      <c r="M42" s="1329">
        <v>5.682</v>
      </c>
      <c r="N42" s="1329">
        <v>19.89</v>
      </c>
      <c r="O42" s="553"/>
      <c r="P42" s="142"/>
      <c r="Q42" s="554"/>
    </row>
    <row r="43" spans="2:14" ht="12.75">
      <c r="B43" s="759"/>
      <c r="C43" s="760"/>
      <c r="D43" s="761"/>
      <c r="E43" s="761"/>
      <c r="F43" s="762"/>
      <c r="G43" s="762"/>
      <c r="H43" s="792"/>
      <c r="I43" s="747" t="s">
        <v>2278</v>
      </c>
      <c r="J43" s="747"/>
      <c r="K43" s="1330"/>
      <c r="L43" s="66"/>
      <c r="M43" s="66"/>
      <c r="N43" s="66"/>
    </row>
    <row r="44" spans="2:17" ht="12.75" customHeight="1">
      <c r="B44" s="750">
        <v>1</v>
      </c>
      <c r="C44" s="750">
        <f>+B44+1</f>
        <v>2</v>
      </c>
      <c r="D44" s="750">
        <f>+C44+1</f>
        <v>3</v>
      </c>
      <c r="E44" s="750">
        <f>+D44+1</f>
        <v>4</v>
      </c>
      <c r="F44" s="750">
        <f>+E44+1</f>
        <v>5</v>
      </c>
      <c r="G44" s="750"/>
      <c r="H44" s="793">
        <f>+F44+1</f>
        <v>6</v>
      </c>
      <c r="I44" s="750">
        <v>7</v>
      </c>
      <c r="J44" s="761"/>
      <c r="K44" s="1327">
        <v>6</v>
      </c>
      <c r="L44" s="66">
        <v>7</v>
      </c>
      <c r="M44" s="66"/>
      <c r="N44" s="66"/>
      <c r="O44" s="15"/>
      <c r="P44" s="142"/>
      <c r="Q44" s="15"/>
    </row>
    <row r="45" spans="2:17" ht="12.75" customHeight="1">
      <c r="B45" s="2091" t="s">
        <v>567</v>
      </c>
      <c r="C45" s="2092" t="s">
        <v>2279</v>
      </c>
      <c r="D45" s="2091" t="s">
        <v>568</v>
      </c>
      <c r="E45" s="749" t="s">
        <v>2266</v>
      </c>
      <c r="F45" s="749">
        <v>260</v>
      </c>
      <c r="G45" s="749"/>
      <c r="H45" s="790">
        <v>0</v>
      </c>
      <c r="I45" s="749">
        <f>F45*H45/100</f>
        <v>0</v>
      </c>
      <c r="J45" s="762"/>
      <c r="K45" s="1327">
        <v>0</v>
      </c>
      <c r="L45" s="66">
        <v>0</v>
      </c>
      <c r="M45" s="66"/>
      <c r="N45" s="66"/>
      <c r="O45" s="15"/>
      <c r="P45" s="142"/>
      <c r="Q45" s="15"/>
    </row>
    <row r="46" spans="2:17" ht="19.5" customHeight="1">
      <c r="B46" s="2091"/>
      <c r="C46" s="2092"/>
      <c r="D46" s="2091"/>
      <c r="E46" s="758" t="s">
        <v>2271</v>
      </c>
      <c r="F46" s="749">
        <v>220</v>
      </c>
      <c r="G46" s="749"/>
      <c r="H46" s="790">
        <v>0</v>
      </c>
      <c r="I46" s="749">
        <f>F46*H46/100</f>
        <v>0</v>
      </c>
      <c r="J46" s="762"/>
      <c r="K46" s="1327">
        <v>0</v>
      </c>
      <c r="L46" s="66">
        <v>0</v>
      </c>
      <c r="M46" s="66"/>
      <c r="N46" s="66"/>
      <c r="O46" s="15"/>
      <c r="P46" s="142"/>
      <c r="Q46" s="15"/>
    </row>
    <row r="47" spans="2:17" ht="18.75" customHeight="1">
      <c r="B47" s="2091"/>
      <c r="C47" s="2092"/>
      <c r="D47" s="2091"/>
      <c r="E47" s="758" t="s">
        <v>2272</v>
      </c>
      <c r="F47" s="749">
        <v>150</v>
      </c>
      <c r="G47" s="749"/>
      <c r="H47" s="790">
        <v>0</v>
      </c>
      <c r="I47" s="749">
        <f>F47*H47/100</f>
        <v>0</v>
      </c>
      <c r="J47" s="762"/>
      <c r="K47" s="1327">
        <v>0</v>
      </c>
      <c r="L47" s="66">
        <v>0</v>
      </c>
      <c r="M47" s="66"/>
      <c r="N47" s="66"/>
      <c r="O47" s="15"/>
      <c r="P47" s="142"/>
      <c r="Q47" s="15"/>
    </row>
    <row r="48" spans="2:17" ht="15" customHeight="1">
      <c r="B48" s="750" t="s">
        <v>2268</v>
      </c>
      <c r="C48" s="757" t="s">
        <v>2280</v>
      </c>
      <c r="D48" s="750" t="s">
        <v>568</v>
      </c>
      <c r="E48" s="750" t="s">
        <v>568</v>
      </c>
      <c r="F48" s="749">
        <v>270</v>
      </c>
      <c r="G48" s="749">
        <v>3.62</v>
      </c>
      <c r="H48" s="790">
        <v>3.62</v>
      </c>
      <c r="I48" s="749">
        <f>F48*H48/100</f>
        <v>9.774</v>
      </c>
      <c r="J48" s="762"/>
      <c r="K48" s="1336">
        <v>3.62</v>
      </c>
      <c r="L48" s="66">
        <v>9.774</v>
      </c>
      <c r="M48" s="66">
        <v>3.62</v>
      </c>
      <c r="N48" s="66">
        <v>9.774</v>
      </c>
      <c r="O48" s="15"/>
      <c r="P48" s="142"/>
      <c r="Q48" s="15"/>
    </row>
    <row r="49" spans="2:17" ht="19.5" customHeight="1">
      <c r="B49" s="756" t="s">
        <v>2376</v>
      </c>
      <c r="C49" s="756"/>
      <c r="D49" s="756"/>
      <c r="E49" s="756"/>
      <c r="F49" s="756"/>
      <c r="G49" s="790">
        <f>G45+G46+G47+G48</f>
        <v>3.62</v>
      </c>
      <c r="H49" s="790">
        <f>H45+H46+H47+H48</f>
        <v>3.62</v>
      </c>
      <c r="I49" s="749">
        <f>I45+I46+I47+I48</f>
        <v>9.774</v>
      </c>
      <c r="J49" s="762"/>
      <c r="K49" s="749">
        <v>3.62</v>
      </c>
      <c r="L49" s="66">
        <v>9.774</v>
      </c>
      <c r="M49" s="66">
        <v>3.62</v>
      </c>
      <c r="N49" s="66">
        <v>9.774</v>
      </c>
      <c r="O49" s="15"/>
      <c r="P49" s="15"/>
      <c r="Q49" s="553"/>
    </row>
    <row r="50" spans="2:11" ht="12.75">
      <c r="B50" s="745"/>
      <c r="C50" s="745" t="s">
        <v>2281</v>
      </c>
      <c r="D50" s="745"/>
      <c r="E50" s="745"/>
      <c r="F50" s="745"/>
      <c r="G50" s="745"/>
      <c r="H50" s="745"/>
      <c r="I50" s="745"/>
      <c r="J50" s="745"/>
      <c r="K50" s="15"/>
    </row>
    <row r="51" spans="2:11" ht="12.75">
      <c r="B51" s="2093" t="s">
        <v>2287</v>
      </c>
      <c r="C51" s="2093"/>
      <c r="D51" s="2093"/>
      <c r="E51" s="2093"/>
      <c r="F51" s="2093"/>
      <c r="G51" s="2093"/>
      <c r="H51" s="2093"/>
      <c r="I51" s="2093"/>
      <c r="J51" s="1299"/>
      <c r="K51" s="15"/>
    </row>
    <row r="52" spans="2:11" ht="12.75">
      <c r="B52" s="2094" t="s">
        <v>2288</v>
      </c>
      <c r="C52" s="2094"/>
      <c r="D52" s="2094"/>
      <c r="E52" s="2094"/>
      <c r="F52" s="2094"/>
      <c r="G52" s="2094"/>
      <c r="H52" s="2094"/>
      <c r="I52" s="2094"/>
      <c r="J52" s="1300"/>
      <c r="K52" s="15"/>
    </row>
    <row r="53" spans="2:11" ht="12.75">
      <c r="B53" s="2094" t="s">
        <v>2292</v>
      </c>
      <c r="C53" s="2094"/>
      <c r="D53" s="2094"/>
      <c r="E53" s="2094"/>
      <c r="F53" s="2094"/>
      <c r="G53" s="2094"/>
      <c r="H53" s="2094"/>
      <c r="I53" s="2094"/>
      <c r="J53" s="1300"/>
      <c r="K53" s="15"/>
    </row>
    <row r="54" spans="2:11" ht="12.75">
      <c r="B54" s="2094" t="s">
        <v>2293</v>
      </c>
      <c r="C54" s="2094"/>
      <c r="D54" s="2094"/>
      <c r="E54" s="2094"/>
      <c r="F54" s="2094"/>
      <c r="G54" s="2094"/>
      <c r="H54" s="2094"/>
      <c r="I54" s="2094"/>
      <c r="J54" s="1300"/>
      <c r="K54" s="15"/>
    </row>
    <row r="55" spans="2:11" ht="12.75">
      <c r="B55" s="2093" t="s">
        <v>2294</v>
      </c>
      <c r="C55" s="2093"/>
      <c r="D55" s="2093"/>
      <c r="E55" s="2093"/>
      <c r="F55" s="2093"/>
      <c r="G55" s="2093"/>
      <c r="H55" s="2093"/>
      <c r="I55" s="2093"/>
      <c r="J55" s="1299"/>
      <c r="K55" s="15"/>
    </row>
    <row r="56" spans="2:10" ht="12.75">
      <c r="B56" s="2093" t="s">
        <v>2295</v>
      </c>
      <c r="C56" s="2093"/>
      <c r="D56" s="2093"/>
      <c r="E56" s="2093"/>
      <c r="F56" s="2093"/>
      <c r="G56" s="2093"/>
      <c r="H56" s="2093"/>
      <c r="I56" s="2093"/>
      <c r="J56" s="1299"/>
    </row>
  </sheetData>
  <sheetProtection/>
  <mergeCells count="39">
    <mergeCell ref="D22:D24"/>
    <mergeCell ref="D25:D26"/>
    <mergeCell ref="K5:L5"/>
    <mergeCell ref="M5:N5"/>
    <mergeCell ref="H5:I5"/>
    <mergeCell ref="P34:P35"/>
    <mergeCell ref="B3:I3"/>
    <mergeCell ref="B6:B7"/>
    <mergeCell ref="C6:C7"/>
    <mergeCell ref="D6:D7"/>
    <mergeCell ref="E6:E7"/>
    <mergeCell ref="B4:G4"/>
    <mergeCell ref="C11:C12"/>
    <mergeCell ref="D11:D12"/>
    <mergeCell ref="C13:C16"/>
    <mergeCell ref="D13:D14"/>
    <mergeCell ref="D15:D16"/>
    <mergeCell ref="C17:C21"/>
    <mergeCell ref="D17:D19"/>
    <mergeCell ref="D20:D21"/>
    <mergeCell ref="C22:C26"/>
    <mergeCell ref="B38:B39"/>
    <mergeCell ref="B30:B37"/>
    <mergeCell ref="C30:C34"/>
    <mergeCell ref="D30:D32"/>
    <mergeCell ref="D33:D34"/>
    <mergeCell ref="C35:C37"/>
    <mergeCell ref="D35:D37"/>
    <mergeCell ref="B27:B28"/>
    <mergeCell ref="B9:B26"/>
    <mergeCell ref="B45:B47"/>
    <mergeCell ref="C45:C47"/>
    <mergeCell ref="D45:D47"/>
    <mergeCell ref="B55:I55"/>
    <mergeCell ref="B56:I56"/>
    <mergeCell ref="B51:I51"/>
    <mergeCell ref="B52:I52"/>
    <mergeCell ref="B53:I53"/>
    <mergeCell ref="B54:I54"/>
  </mergeCells>
  <printOptions/>
  <pageMargins left="0.75" right="0.22" top="0.6" bottom="0.38" header="0.5" footer="0.22"/>
  <pageSetup fitToHeight="1" fitToWidth="1" horizontalDpi="600" verticalDpi="600" orientation="portrait" paperSize="9" scale="56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0"/>
  <sheetViews>
    <sheetView zoomScalePageLayoutView="0" workbookViewId="0" topLeftCell="B26">
      <selection activeCell="H36" sqref="H36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28.875" style="0" customWidth="1"/>
    <col min="6" max="6" width="11.375" style="0" customWidth="1"/>
    <col min="7" max="7" width="9.375" style="0" customWidth="1"/>
    <col min="8" max="8" width="9.25390625" style="0" customWidth="1"/>
    <col min="9" max="9" width="11.375" style="0" customWidth="1"/>
    <col min="10" max="10" width="3.375" style="0" customWidth="1"/>
    <col min="11" max="11" width="10.25390625" style="0" customWidth="1"/>
    <col min="12" max="12" width="9.375" style="0" customWidth="1"/>
    <col min="13" max="13" width="9.25390625" style="0" customWidth="1"/>
    <col min="14" max="14" width="9.625" style="0" customWidth="1"/>
    <col min="15" max="15" width="8.625" style="0" customWidth="1"/>
    <col min="16" max="16" width="9.25390625" style="0" customWidth="1"/>
  </cols>
  <sheetData>
    <row r="1" spans="2:17" ht="12.75">
      <c r="B1" s="280"/>
      <c r="C1" s="288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2:17" ht="12.75">
      <c r="B2" s="280"/>
      <c r="C2" s="301" t="s">
        <v>2528</v>
      </c>
      <c r="D2" s="280"/>
      <c r="E2" s="280"/>
      <c r="F2" s="280"/>
      <c r="G2" s="280"/>
      <c r="H2" s="289" t="s">
        <v>1533</v>
      </c>
      <c r="I2" s="280"/>
      <c r="J2" s="288"/>
      <c r="L2" s="280"/>
      <c r="M2" s="280"/>
      <c r="N2" s="280"/>
      <c r="O2" s="280"/>
      <c r="P2" s="280"/>
      <c r="Q2" s="280"/>
    </row>
    <row r="3" spans="2:17" ht="31.5" customHeight="1">
      <c r="B3" s="2135" t="s">
        <v>1536</v>
      </c>
      <c r="C3" s="2135"/>
      <c r="D3" s="2135"/>
      <c r="E3" s="2135"/>
      <c r="F3" s="2135"/>
      <c r="G3" s="2135"/>
      <c r="H3" s="2135"/>
      <c r="I3" s="2135"/>
      <c r="J3" s="280"/>
      <c r="K3" s="280"/>
      <c r="L3" s="280"/>
      <c r="M3" s="280"/>
      <c r="N3" s="280"/>
      <c r="O3" s="280"/>
      <c r="P3" s="280"/>
      <c r="Q3" s="280"/>
    </row>
    <row r="4" spans="2:17" ht="12.75">
      <c r="B4" s="290"/>
      <c r="C4" s="290"/>
      <c r="D4" s="290"/>
      <c r="E4" s="290"/>
      <c r="F4" s="290"/>
      <c r="G4" s="290"/>
      <c r="H4" s="290"/>
      <c r="I4" s="290"/>
      <c r="J4" s="291"/>
      <c r="K4" s="291"/>
      <c r="L4" s="281"/>
      <c r="M4" s="280"/>
      <c r="N4" s="280"/>
      <c r="O4" s="280"/>
      <c r="P4" s="280"/>
      <c r="Q4" s="280"/>
    </row>
    <row r="5" spans="2:17" ht="28.5" customHeight="1">
      <c r="B5" s="2125" t="s">
        <v>223</v>
      </c>
      <c r="C5" s="2125" t="s">
        <v>2533</v>
      </c>
      <c r="D5" s="2125" t="s">
        <v>1413</v>
      </c>
      <c r="E5" s="2125" t="s">
        <v>557</v>
      </c>
      <c r="F5" s="2125" t="s">
        <v>2534</v>
      </c>
      <c r="G5" s="1095" t="s">
        <v>678</v>
      </c>
      <c r="H5" s="2131">
        <v>2015</v>
      </c>
      <c r="I5" s="2132"/>
      <c r="J5" s="1302"/>
      <c r="K5" s="2133" t="s">
        <v>375</v>
      </c>
      <c r="L5" s="2134"/>
      <c r="M5" s="2129">
        <v>2008</v>
      </c>
      <c r="N5" s="2130"/>
      <c r="O5" s="2129">
        <v>2010</v>
      </c>
      <c r="P5" s="2130"/>
      <c r="Q5" s="280"/>
    </row>
    <row r="6" spans="2:17" ht="47.25" customHeight="1">
      <c r="B6" s="2123"/>
      <c r="C6" s="2123"/>
      <c r="D6" s="2123"/>
      <c r="E6" s="2123"/>
      <c r="F6" s="2124"/>
      <c r="G6" s="282" t="s">
        <v>2535</v>
      </c>
      <c r="H6" s="282" t="s">
        <v>2535</v>
      </c>
      <c r="I6" s="282" t="s">
        <v>562</v>
      </c>
      <c r="J6" s="710"/>
      <c r="K6" s="1320" t="s">
        <v>2535</v>
      </c>
      <c r="L6" s="1321" t="s">
        <v>562</v>
      </c>
      <c r="M6" s="1321" t="s">
        <v>2535</v>
      </c>
      <c r="N6" s="1322" t="s">
        <v>562</v>
      </c>
      <c r="O6" s="1322" t="s">
        <v>2535</v>
      </c>
      <c r="P6" s="1322" t="s">
        <v>562</v>
      </c>
      <c r="Q6" s="280"/>
    </row>
    <row r="7" spans="2:17" ht="12.75">
      <c r="B7" s="2124"/>
      <c r="C7" s="2124"/>
      <c r="D7" s="2124"/>
      <c r="E7" s="2124"/>
      <c r="F7" s="282" t="s">
        <v>2536</v>
      </c>
      <c r="G7" s="282"/>
      <c r="H7" s="282" t="s">
        <v>2537</v>
      </c>
      <c r="I7" s="282" t="s">
        <v>565</v>
      </c>
      <c r="J7" s="287"/>
      <c r="K7" s="1304" t="s">
        <v>2537</v>
      </c>
      <c r="L7" s="1303" t="s">
        <v>565</v>
      </c>
      <c r="M7" s="1303"/>
      <c r="N7" s="1303"/>
      <c r="O7" s="1303" t="s">
        <v>2537</v>
      </c>
      <c r="P7" s="1303" t="s">
        <v>565</v>
      </c>
      <c r="Q7" s="280"/>
    </row>
    <row r="8" spans="2:17" ht="12.75">
      <c r="B8" s="283">
        <v>1</v>
      </c>
      <c r="C8" s="283">
        <f>+B8+1</f>
        <v>2</v>
      </c>
      <c r="D8" s="283">
        <f>+C8+1</f>
        <v>3</v>
      </c>
      <c r="E8" s="283">
        <f>+D8+1</f>
        <v>4</v>
      </c>
      <c r="F8" s="283">
        <f>+E8+1</f>
        <v>5</v>
      </c>
      <c r="G8" s="283"/>
      <c r="H8" s="283">
        <v>6</v>
      </c>
      <c r="I8" s="283" t="s">
        <v>2538</v>
      </c>
      <c r="J8" s="466"/>
      <c r="K8" s="283">
        <v>6</v>
      </c>
      <c r="L8" s="1303" t="s">
        <v>2538</v>
      </c>
      <c r="M8" s="1303"/>
      <c r="N8" s="1303"/>
      <c r="O8" s="1303">
        <v>6</v>
      </c>
      <c r="P8" s="1303" t="s">
        <v>2538</v>
      </c>
      <c r="Q8" s="280"/>
    </row>
    <row r="9" spans="2:17" ht="12.75">
      <c r="B9" s="2111">
        <v>1</v>
      </c>
      <c r="C9" s="2125" t="s">
        <v>2539</v>
      </c>
      <c r="D9" s="2125" t="s">
        <v>2540</v>
      </c>
      <c r="E9" s="286">
        <v>1150</v>
      </c>
      <c r="F9" s="284">
        <v>1000</v>
      </c>
      <c r="G9" s="284"/>
      <c r="H9" s="284"/>
      <c r="I9" s="284"/>
      <c r="J9" s="468"/>
      <c r="K9" s="467"/>
      <c r="L9" s="1303"/>
      <c r="M9" s="1303"/>
      <c r="N9" s="1303"/>
      <c r="O9" s="1303"/>
      <c r="P9" s="1303">
        <v>0</v>
      </c>
      <c r="Q9" s="280"/>
    </row>
    <row r="10" spans="2:17" ht="12.75">
      <c r="B10" s="2112"/>
      <c r="C10" s="2123"/>
      <c r="D10" s="2123"/>
      <c r="E10" s="286">
        <v>750</v>
      </c>
      <c r="F10" s="284">
        <v>600</v>
      </c>
      <c r="G10" s="284"/>
      <c r="H10" s="284"/>
      <c r="I10" s="284"/>
      <c r="J10" s="468"/>
      <c r="K10" s="467"/>
      <c r="L10" s="1303"/>
      <c r="M10" s="1303"/>
      <c r="N10" s="1303"/>
      <c r="O10" s="1303"/>
      <c r="P10" s="1303">
        <v>0</v>
      </c>
      <c r="Q10" s="280"/>
    </row>
    <row r="11" spans="2:17" ht="12.75">
      <c r="B11" s="2112"/>
      <c r="C11" s="2123"/>
      <c r="D11" s="2123"/>
      <c r="E11" s="282" t="s">
        <v>2541</v>
      </c>
      <c r="F11" s="284">
        <v>500</v>
      </c>
      <c r="G11" s="284"/>
      <c r="H11" s="284"/>
      <c r="I11" s="284"/>
      <c r="J11" s="468"/>
      <c r="K11" s="467"/>
      <c r="L11" s="1303"/>
      <c r="M11" s="1303"/>
      <c r="N11" s="1303"/>
      <c r="O11" s="1303"/>
      <c r="P11" s="1303">
        <v>0</v>
      </c>
      <c r="Q11" s="280"/>
    </row>
    <row r="12" spans="2:17" ht="12.75">
      <c r="B12" s="2112"/>
      <c r="C12" s="2123"/>
      <c r="D12" s="2123"/>
      <c r="E12" s="282">
        <v>330</v>
      </c>
      <c r="F12" s="284">
        <v>250</v>
      </c>
      <c r="G12" s="284"/>
      <c r="H12" s="284"/>
      <c r="I12" s="284"/>
      <c r="J12" s="468"/>
      <c r="K12" s="467"/>
      <c r="L12" s="1303"/>
      <c r="M12" s="1303"/>
      <c r="N12" s="1303"/>
      <c r="O12" s="1303"/>
      <c r="P12" s="1303">
        <v>0</v>
      </c>
      <c r="Q12" s="280"/>
    </row>
    <row r="13" spans="2:17" ht="12.75">
      <c r="B13" s="2112"/>
      <c r="C13" s="2123"/>
      <c r="D13" s="2123"/>
      <c r="E13" s="293">
        <v>220</v>
      </c>
      <c r="F13" s="294">
        <v>210</v>
      </c>
      <c r="G13" s="294"/>
      <c r="H13" s="294"/>
      <c r="I13" s="294"/>
      <c r="J13" s="469"/>
      <c r="K13" s="467"/>
      <c r="L13" s="1303"/>
      <c r="M13" s="1303"/>
      <c r="N13" s="1303"/>
      <c r="O13" s="1303"/>
      <c r="P13" s="1303">
        <v>0</v>
      </c>
      <c r="Q13" s="280"/>
    </row>
    <row r="14" spans="2:17" ht="12.75">
      <c r="B14" s="2112"/>
      <c r="C14" s="2123"/>
      <c r="D14" s="2123"/>
      <c r="E14" s="282" t="s">
        <v>2542</v>
      </c>
      <c r="F14" s="284">
        <v>105</v>
      </c>
      <c r="G14" s="284"/>
      <c r="H14" s="284"/>
      <c r="I14" s="284"/>
      <c r="J14" s="470"/>
      <c r="K14" s="467"/>
      <c r="L14" s="1303"/>
      <c r="M14" s="1303"/>
      <c r="N14" s="1303"/>
      <c r="O14" s="1303"/>
      <c r="P14" s="1303">
        <v>0</v>
      </c>
      <c r="Q14" s="280"/>
    </row>
    <row r="15" spans="2:17" ht="12.75">
      <c r="B15" s="2113"/>
      <c r="C15" s="2124"/>
      <c r="D15" s="2124"/>
      <c r="E15" s="282">
        <v>35</v>
      </c>
      <c r="F15" s="284">
        <v>75</v>
      </c>
      <c r="G15" s="284"/>
      <c r="H15" s="284"/>
      <c r="I15" s="284"/>
      <c r="J15" s="470"/>
      <c r="K15" s="467"/>
      <c r="L15" s="1303"/>
      <c r="M15" s="1303"/>
      <c r="N15" s="1303"/>
      <c r="O15" s="1303"/>
      <c r="P15" s="1303">
        <v>0</v>
      </c>
      <c r="Q15" s="280"/>
    </row>
    <row r="16" spans="2:17" ht="12.75">
      <c r="B16" s="2111">
        <v>2</v>
      </c>
      <c r="C16" s="2125" t="s">
        <v>2543</v>
      </c>
      <c r="D16" s="2125" t="s">
        <v>2544</v>
      </c>
      <c r="E16" s="286">
        <v>1150</v>
      </c>
      <c r="F16" s="284">
        <v>60</v>
      </c>
      <c r="G16" s="284"/>
      <c r="H16" s="284"/>
      <c r="I16" s="284"/>
      <c r="J16" s="470"/>
      <c r="K16" s="467"/>
      <c r="L16" s="1303"/>
      <c r="M16" s="1303"/>
      <c r="N16" s="1303"/>
      <c r="O16" s="1303"/>
      <c r="P16" s="1303">
        <v>0</v>
      </c>
      <c r="Q16" s="280"/>
    </row>
    <row r="17" spans="2:17" ht="12.75">
      <c r="B17" s="2112"/>
      <c r="C17" s="2123"/>
      <c r="D17" s="2123"/>
      <c r="E17" s="286">
        <v>750</v>
      </c>
      <c r="F17" s="284">
        <v>43</v>
      </c>
      <c r="G17" s="284"/>
      <c r="H17" s="284"/>
      <c r="I17" s="284"/>
      <c r="J17" s="470"/>
      <c r="K17" s="467"/>
      <c r="L17" s="1303"/>
      <c r="M17" s="1303"/>
      <c r="N17" s="1303"/>
      <c r="O17" s="1303"/>
      <c r="P17" s="1303">
        <v>0</v>
      </c>
      <c r="Q17" s="280"/>
    </row>
    <row r="18" spans="2:17" ht="12.75">
      <c r="B18" s="2112"/>
      <c r="C18" s="2123"/>
      <c r="D18" s="2123"/>
      <c r="E18" s="282" t="s">
        <v>2541</v>
      </c>
      <c r="F18" s="284">
        <v>28</v>
      </c>
      <c r="G18" s="284"/>
      <c r="H18" s="284"/>
      <c r="I18" s="284"/>
      <c r="J18" s="470"/>
      <c r="K18" s="467"/>
      <c r="L18" s="1303"/>
      <c r="M18" s="1303"/>
      <c r="N18" s="1303"/>
      <c r="O18" s="1303"/>
      <c r="P18" s="1303">
        <v>0</v>
      </c>
      <c r="Q18" s="280"/>
    </row>
    <row r="19" spans="2:17" ht="12.75">
      <c r="B19" s="2112"/>
      <c r="C19" s="2123"/>
      <c r="D19" s="2123"/>
      <c r="E19" s="282">
        <v>330</v>
      </c>
      <c r="F19" s="284">
        <v>18</v>
      </c>
      <c r="G19" s="284"/>
      <c r="H19" s="284"/>
      <c r="I19" s="284"/>
      <c r="J19" s="470"/>
      <c r="K19" s="467"/>
      <c r="L19" s="1303"/>
      <c r="M19" s="1303"/>
      <c r="N19" s="1303"/>
      <c r="O19" s="1303"/>
      <c r="P19" s="1303">
        <v>0</v>
      </c>
      <c r="Q19" s="280"/>
    </row>
    <row r="20" spans="2:17" ht="12.75">
      <c r="B20" s="2112"/>
      <c r="C20" s="2123"/>
      <c r="D20" s="2123"/>
      <c r="E20" s="293">
        <v>220</v>
      </c>
      <c r="F20" s="294">
        <v>14</v>
      </c>
      <c r="G20" s="294"/>
      <c r="H20" s="294"/>
      <c r="I20" s="294"/>
      <c r="J20" s="469"/>
      <c r="K20" s="467"/>
      <c r="L20" s="1303"/>
      <c r="M20" s="1303"/>
      <c r="N20" s="1303"/>
      <c r="O20" s="1303"/>
      <c r="P20" s="1303">
        <v>0</v>
      </c>
      <c r="Q20" s="280"/>
    </row>
    <row r="21" spans="2:17" ht="12.75">
      <c r="B21" s="2112"/>
      <c r="C21" s="2123"/>
      <c r="D21" s="2123"/>
      <c r="E21" s="282" t="s">
        <v>2542</v>
      </c>
      <c r="F21" s="284">
        <v>7.8</v>
      </c>
      <c r="G21" s="284"/>
      <c r="H21" s="284"/>
      <c r="I21" s="284"/>
      <c r="J21" s="471"/>
      <c r="K21" s="467"/>
      <c r="L21" s="1303"/>
      <c r="M21" s="1303"/>
      <c r="N21" s="1303"/>
      <c r="O21" s="1303"/>
      <c r="P21" s="1303">
        <v>0</v>
      </c>
      <c r="Q21" s="280"/>
    </row>
    <row r="22" spans="2:17" ht="12.75">
      <c r="B22" s="2112"/>
      <c r="C22" s="2123"/>
      <c r="D22" s="2123"/>
      <c r="E22" s="282">
        <v>35</v>
      </c>
      <c r="F22" s="284">
        <v>2.1</v>
      </c>
      <c r="G22" s="284"/>
      <c r="H22" s="284"/>
      <c r="I22" s="284"/>
      <c r="J22" s="470"/>
      <c r="K22" s="467"/>
      <c r="L22" s="1303"/>
      <c r="M22" s="1303"/>
      <c r="N22" s="1303"/>
      <c r="O22" s="1303"/>
      <c r="P22" s="1303">
        <v>0</v>
      </c>
      <c r="Q22" s="280"/>
    </row>
    <row r="23" spans="2:17" ht="12.75">
      <c r="B23" s="2113"/>
      <c r="C23" s="2123"/>
      <c r="D23" s="2124"/>
      <c r="E23" s="295" t="s">
        <v>2545</v>
      </c>
      <c r="F23" s="296">
        <v>1</v>
      </c>
      <c r="G23" s="296">
        <v>17</v>
      </c>
      <c r="H23" s="296"/>
      <c r="I23" s="296">
        <v>0</v>
      </c>
      <c r="J23" s="471"/>
      <c r="K23" s="467"/>
      <c r="L23" s="1303"/>
      <c r="M23" s="1303"/>
      <c r="N23" s="1303"/>
      <c r="O23" s="1303"/>
      <c r="P23" s="1303">
        <v>0</v>
      </c>
      <c r="Q23" s="280"/>
    </row>
    <row r="24" spans="2:17" ht="12.75">
      <c r="B24" s="2111">
        <v>3</v>
      </c>
      <c r="C24" s="2125" t="s">
        <v>2546</v>
      </c>
      <c r="D24" s="2125" t="s">
        <v>2547</v>
      </c>
      <c r="E24" s="286">
        <v>1150</v>
      </c>
      <c r="F24" s="282">
        <v>180</v>
      </c>
      <c r="G24" s="284"/>
      <c r="H24" s="282"/>
      <c r="I24" s="282"/>
      <c r="J24" s="470"/>
      <c r="K24" s="467"/>
      <c r="L24" s="1303"/>
      <c r="M24" s="1303"/>
      <c r="N24" s="1303"/>
      <c r="O24" s="1303"/>
      <c r="P24" s="1303">
        <v>0</v>
      </c>
      <c r="Q24" s="280"/>
    </row>
    <row r="25" spans="2:17" ht="12.75">
      <c r="B25" s="2112"/>
      <c r="C25" s="2123"/>
      <c r="D25" s="2123"/>
      <c r="E25" s="286">
        <v>750</v>
      </c>
      <c r="F25" s="282">
        <v>130</v>
      </c>
      <c r="G25" s="284"/>
      <c r="H25" s="282"/>
      <c r="I25" s="282"/>
      <c r="J25" s="470"/>
      <c r="K25" s="467"/>
      <c r="L25" s="1303"/>
      <c r="M25" s="1303"/>
      <c r="N25" s="1303"/>
      <c r="O25" s="1303"/>
      <c r="P25" s="1303">
        <v>0</v>
      </c>
      <c r="Q25" s="280"/>
    </row>
    <row r="26" spans="2:17" ht="12.75">
      <c r="B26" s="2112"/>
      <c r="C26" s="2123"/>
      <c r="D26" s="2123"/>
      <c r="E26" s="282" t="s">
        <v>2541</v>
      </c>
      <c r="F26" s="284">
        <v>88</v>
      </c>
      <c r="G26" s="284"/>
      <c r="H26" s="284"/>
      <c r="I26" s="284"/>
      <c r="J26" s="470"/>
      <c r="K26" s="467"/>
      <c r="L26" s="1303"/>
      <c r="M26" s="1303"/>
      <c r="N26" s="1303"/>
      <c r="O26" s="1303"/>
      <c r="P26" s="1303">
        <v>0</v>
      </c>
      <c r="Q26" s="280"/>
    </row>
    <row r="27" spans="2:17" ht="12.75">
      <c r="B27" s="2112"/>
      <c r="C27" s="2123"/>
      <c r="D27" s="2123"/>
      <c r="E27" s="282">
        <v>330</v>
      </c>
      <c r="F27" s="284">
        <v>66</v>
      </c>
      <c r="G27" s="284"/>
      <c r="H27" s="284"/>
      <c r="I27" s="284"/>
      <c r="J27" s="470"/>
      <c r="K27" s="467"/>
      <c r="L27" s="1303"/>
      <c r="M27" s="1303"/>
      <c r="N27" s="1303"/>
      <c r="O27" s="1303"/>
      <c r="P27" s="1303">
        <v>0</v>
      </c>
      <c r="Q27" s="280"/>
    </row>
    <row r="28" spans="2:17" ht="12.75">
      <c r="B28" s="2112"/>
      <c r="C28" s="2123"/>
      <c r="D28" s="2123"/>
      <c r="E28" s="282">
        <v>220</v>
      </c>
      <c r="F28" s="284">
        <v>43</v>
      </c>
      <c r="G28" s="284"/>
      <c r="H28" s="284"/>
      <c r="I28" s="284"/>
      <c r="J28" s="470"/>
      <c r="K28" s="467"/>
      <c r="L28" s="1303"/>
      <c r="M28" s="1303"/>
      <c r="N28" s="1303"/>
      <c r="O28" s="1303"/>
      <c r="P28" s="1303">
        <v>0</v>
      </c>
      <c r="Q28" s="280"/>
    </row>
    <row r="29" spans="2:17" ht="12.75">
      <c r="B29" s="2112"/>
      <c r="C29" s="2123"/>
      <c r="D29" s="2123"/>
      <c r="E29" s="282" t="s">
        <v>2542</v>
      </c>
      <c r="F29" s="284">
        <v>26</v>
      </c>
      <c r="G29" s="284"/>
      <c r="H29" s="284"/>
      <c r="I29" s="284"/>
      <c r="J29" s="470"/>
      <c r="K29" s="467"/>
      <c r="L29" s="1303"/>
      <c r="M29" s="1303"/>
      <c r="N29" s="1303"/>
      <c r="O29" s="1303"/>
      <c r="P29" s="1303">
        <v>0</v>
      </c>
      <c r="Q29" s="280"/>
    </row>
    <row r="30" spans="2:17" ht="12.75">
      <c r="B30" s="2112"/>
      <c r="C30" s="2123"/>
      <c r="D30" s="2123"/>
      <c r="E30" s="282">
        <v>35</v>
      </c>
      <c r="F30" s="284">
        <v>11</v>
      </c>
      <c r="G30" s="284"/>
      <c r="H30" s="284"/>
      <c r="I30" s="284"/>
      <c r="J30" s="470"/>
      <c r="K30" s="467"/>
      <c r="L30" s="1303"/>
      <c r="M30" s="1303"/>
      <c r="N30" s="1303"/>
      <c r="O30" s="1303"/>
      <c r="P30" s="1303">
        <v>0</v>
      </c>
      <c r="Q30" s="280"/>
    </row>
    <row r="31" spans="2:17" ht="12.75">
      <c r="B31" s="2113"/>
      <c r="C31" s="2123"/>
      <c r="D31" s="2124"/>
      <c r="E31" s="295" t="s">
        <v>2545</v>
      </c>
      <c r="F31" s="284">
        <v>5.5</v>
      </c>
      <c r="G31" s="284">
        <v>49</v>
      </c>
      <c r="H31" s="284">
        <v>4</v>
      </c>
      <c r="I31" s="282">
        <f>H31*F31</f>
        <v>22</v>
      </c>
      <c r="J31" s="470"/>
      <c r="K31" s="467"/>
      <c r="L31" s="1303"/>
      <c r="M31" s="1303"/>
      <c r="N31" s="1303"/>
      <c r="O31" s="1303"/>
      <c r="P31" s="1303">
        <v>0</v>
      </c>
      <c r="Q31" s="280"/>
    </row>
    <row r="32" spans="2:17" ht="12.75" customHeight="1">
      <c r="B32" s="2111">
        <v>4</v>
      </c>
      <c r="C32" s="2125" t="s">
        <v>2548</v>
      </c>
      <c r="D32" s="2125" t="s">
        <v>2549</v>
      </c>
      <c r="E32" s="293">
        <v>220</v>
      </c>
      <c r="F32" s="293">
        <v>23</v>
      </c>
      <c r="G32" s="293"/>
      <c r="H32" s="293"/>
      <c r="I32" s="293"/>
      <c r="J32" s="469"/>
      <c r="K32" s="467"/>
      <c r="L32" s="1303"/>
      <c r="M32" s="1303"/>
      <c r="N32" s="1303"/>
      <c r="O32" s="1303"/>
      <c r="P32" s="1303">
        <v>0</v>
      </c>
      <c r="Q32" s="280"/>
    </row>
    <row r="33" spans="2:17" ht="12.75">
      <c r="B33" s="2112"/>
      <c r="C33" s="2123"/>
      <c r="D33" s="2123"/>
      <c r="E33" s="282" t="s">
        <v>2542</v>
      </c>
      <c r="F33" s="282">
        <v>14</v>
      </c>
      <c r="G33" s="282"/>
      <c r="H33" s="282"/>
      <c r="I33" s="282"/>
      <c r="J33" s="471"/>
      <c r="K33" s="467"/>
      <c r="L33" s="1303"/>
      <c r="M33" s="1303"/>
      <c r="N33" s="1303"/>
      <c r="O33" s="1303"/>
      <c r="P33" s="1303">
        <v>0</v>
      </c>
      <c r="Q33" s="281"/>
    </row>
    <row r="34" spans="2:17" ht="11.25" customHeight="1">
      <c r="B34" s="2112"/>
      <c r="C34" s="2123"/>
      <c r="D34" s="2123"/>
      <c r="E34" s="282">
        <v>35</v>
      </c>
      <c r="F34" s="282">
        <v>6.4</v>
      </c>
      <c r="G34" s="282"/>
      <c r="H34" s="282"/>
      <c r="I34" s="282"/>
      <c r="K34" s="467"/>
      <c r="L34" s="1303"/>
      <c r="M34" s="1303"/>
      <c r="N34" s="1303"/>
      <c r="O34" s="1303"/>
      <c r="P34" s="1303">
        <v>0</v>
      </c>
      <c r="Q34" s="281"/>
    </row>
    <row r="35" spans="2:17" ht="12.75" customHeight="1" hidden="1">
      <c r="B35" s="2113"/>
      <c r="C35" s="2123"/>
      <c r="D35" s="2123"/>
      <c r="E35" s="297" t="s">
        <v>2545</v>
      </c>
      <c r="F35" s="282">
        <v>3.1</v>
      </c>
      <c r="G35" s="282"/>
      <c r="H35" s="282"/>
      <c r="I35" s="282"/>
      <c r="J35" s="471"/>
      <c r="K35" s="467"/>
      <c r="L35" s="1303"/>
      <c r="M35" s="1303"/>
      <c r="N35" s="1303"/>
      <c r="O35" s="1303">
        <v>2916</v>
      </c>
      <c r="P35" s="1303">
        <v>9039.6</v>
      </c>
      <c r="Q35" s="281"/>
    </row>
    <row r="36" spans="2:17" ht="12.75">
      <c r="B36" s="465"/>
      <c r="C36" s="2124"/>
      <c r="D36" s="2124"/>
      <c r="E36" s="472" t="s">
        <v>1537</v>
      </c>
      <c r="F36" s="282">
        <v>3.1</v>
      </c>
      <c r="G36" s="282">
        <v>34</v>
      </c>
      <c r="H36" s="282">
        <v>50</v>
      </c>
      <c r="I36" s="282">
        <f>H36*F36</f>
        <v>155</v>
      </c>
      <c r="J36" s="557"/>
      <c r="K36" s="467">
        <v>41</v>
      </c>
      <c r="L36" s="1303">
        <v>127.10000000000001</v>
      </c>
      <c r="M36" s="1303">
        <v>39</v>
      </c>
      <c r="N36" s="1303">
        <v>120.9</v>
      </c>
      <c r="O36" s="1303">
        <v>39</v>
      </c>
      <c r="P36" s="1305">
        <v>120.9</v>
      </c>
      <c r="Q36" s="281"/>
    </row>
    <row r="37" spans="2:17" ht="12.75">
      <c r="B37" s="2126">
        <v>5</v>
      </c>
      <c r="C37" s="2127" t="s">
        <v>2550</v>
      </c>
      <c r="D37" s="2128" t="s">
        <v>2544</v>
      </c>
      <c r="E37" s="282" t="s">
        <v>2541</v>
      </c>
      <c r="F37" s="284">
        <v>35</v>
      </c>
      <c r="G37" s="284"/>
      <c r="H37" s="284"/>
      <c r="I37" s="284"/>
      <c r="J37" s="470"/>
      <c r="K37" s="467"/>
      <c r="L37" s="1303"/>
      <c r="M37" s="1303"/>
      <c r="N37" s="1303"/>
      <c r="O37" s="1303"/>
      <c r="P37" s="1306">
        <v>0</v>
      </c>
      <c r="Q37" s="281"/>
    </row>
    <row r="38" spans="2:17" ht="12.75">
      <c r="B38" s="2126"/>
      <c r="C38" s="2127"/>
      <c r="D38" s="2128"/>
      <c r="E38" s="282">
        <v>330</v>
      </c>
      <c r="F38" s="282">
        <v>24</v>
      </c>
      <c r="G38" s="282"/>
      <c r="H38" s="282"/>
      <c r="I38" s="282"/>
      <c r="J38" s="470"/>
      <c r="K38" s="467"/>
      <c r="L38" s="1303"/>
      <c r="M38" s="1303"/>
      <c r="N38" s="1303"/>
      <c r="O38" s="1303"/>
      <c r="P38" s="1306">
        <v>0</v>
      </c>
      <c r="Q38" s="281"/>
    </row>
    <row r="39" spans="2:17" ht="12.75">
      <c r="B39" s="2126"/>
      <c r="C39" s="2127"/>
      <c r="D39" s="2128"/>
      <c r="E39" s="293">
        <v>220</v>
      </c>
      <c r="F39" s="293">
        <v>19</v>
      </c>
      <c r="G39" s="293"/>
      <c r="H39" s="293"/>
      <c r="I39" s="293"/>
      <c r="J39" s="469"/>
      <c r="K39" s="467"/>
      <c r="L39" s="1303"/>
      <c r="M39" s="1303"/>
      <c r="N39" s="1303"/>
      <c r="O39" s="1303"/>
      <c r="P39" s="1306">
        <v>0</v>
      </c>
      <c r="Q39" s="281"/>
    </row>
    <row r="40" spans="2:17" ht="12.75">
      <c r="B40" s="2126"/>
      <c r="C40" s="2127"/>
      <c r="D40" s="2128"/>
      <c r="E40" s="282" t="s">
        <v>2542</v>
      </c>
      <c r="F40" s="282">
        <v>9.5</v>
      </c>
      <c r="G40" s="282"/>
      <c r="H40" s="282"/>
      <c r="I40" s="282"/>
      <c r="J40" s="470"/>
      <c r="K40" s="467"/>
      <c r="L40" s="1303"/>
      <c r="M40" s="1303"/>
      <c r="N40" s="1303"/>
      <c r="O40" s="1303"/>
      <c r="P40" s="1306">
        <v>0</v>
      </c>
      <c r="Q40" s="281"/>
    </row>
    <row r="41" spans="2:17" ht="12.75">
      <c r="B41" s="2126"/>
      <c r="C41" s="2127"/>
      <c r="D41" s="2128"/>
      <c r="E41" s="282">
        <v>35</v>
      </c>
      <c r="F41" s="282">
        <v>4.7</v>
      </c>
      <c r="G41" s="282"/>
      <c r="H41" s="282"/>
      <c r="I41" s="282"/>
      <c r="J41" s="470"/>
      <c r="K41" s="467"/>
      <c r="L41" s="1303"/>
      <c r="M41" s="1303"/>
      <c r="N41" s="1303"/>
      <c r="O41" s="1303"/>
      <c r="P41" s="1306">
        <v>0</v>
      </c>
      <c r="Q41" s="281"/>
    </row>
    <row r="42" spans="2:17" ht="13.5" customHeight="1">
      <c r="B42" s="284">
        <v>6</v>
      </c>
      <c r="C42" s="282" t="s">
        <v>2551</v>
      </c>
      <c r="D42" s="516" t="s">
        <v>2549</v>
      </c>
      <c r="E42" s="298" t="s">
        <v>2545</v>
      </c>
      <c r="F42" s="282">
        <v>2.3</v>
      </c>
      <c r="G42" s="282">
        <v>196</v>
      </c>
      <c r="H42" s="282">
        <v>40</v>
      </c>
      <c r="I42" s="282">
        <f>H42*F42</f>
        <v>92</v>
      </c>
      <c r="J42" s="470"/>
      <c r="K42" s="467">
        <v>40</v>
      </c>
      <c r="L42" s="1303">
        <v>92</v>
      </c>
      <c r="M42" s="1303">
        <v>21</v>
      </c>
      <c r="N42" s="1303">
        <v>48.3</v>
      </c>
      <c r="O42" s="1303">
        <v>21</v>
      </c>
      <c r="P42" s="1305">
        <v>48.3</v>
      </c>
      <c r="Q42" s="281"/>
    </row>
    <row r="43" spans="2:17" ht="24.75" customHeight="1">
      <c r="B43" s="284">
        <v>7</v>
      </c>
      <c r="C43" s="282" t="s">
        <v>2552</v>
      </c>
      <c r="D43" s="516" t="s">
        <v>2549</v>
      </c>
      <c r="E43" s="298" t="s">
        <v>2545</v>
      </c>
      <c r="F43" s="282">
        <v>26</v>
      </c>
      <c r="G43" s="282"/>
      <c r="H43" s="282"/>
      <c r="I43" s="282"/>
      <c r="J43" s="470"/>
      <c r="K43" s="467"/>
      <c r="L43" s="1303"/>
      <c r="M43" s="1303"/>
      <c r="N43" s="1303"/>
      <c r="O43" s="1303"/>
      <c r="P43" s="1306">
        <v>0</v>
      </c>
      <c r="Q43" s="281"/>
    </row>
    <row r="44" spans="2:17" ht="13.5" customHeight="1">
      <c r="B44" s="284">
        <v>8</v>
      </c>
      <c r="C44" s="282" t="s">
        <v>2553</v>
      </c>
      <c r="D44" s="516" t="s">
        <v>2549</v>
      </c>
      <c r="E44" s="298" t="s">
        <v>2545</v>
      </c>
      <c r="F44" s="282">
        <v>48</v>
      </c>
      <c r="G44" s="282"/>
      <c r="H44" s="282"/>
      <c r="I44" s="282"/>
      <c r="J44" s="470"/>
      <c r="K44" s="467"/>
      <c r="L44" s="1303"/>
      <c r="M44" s="1303"/>
      <c r="N44" s="1303"/>
      <c r="O44" s="1303"/>
      <c r="P44" s="1306">
        <v>0</v>
      </c>
      <c r="Q44" s="281"/>
    </row>
    <row r="45" spans="2:17" ht="12.75">
      <c r="B45" s="284">
        <v>9</v>
      </c>
      <c r="C45" s="2123" t="s">
        <v>2554</v>
      </c>
      <c r="D45" s="2116" t="s">
        <v>2555</v>
      </c>
      <c r="E45" s="282">
        <v>35</v>
      </c>
      <c r="F45" s="282">
        <v>2.4</v>
      </c>
      <c r="G45" s="282"/>
      <c r="H45" s="282"/>
      <c r="I45" s="282"/>
      <c r="J45" s="470"/>
      <c r="K45" s="467"/>
      <c r="L45" s="1303"/>
      <c r="M45" s="1303"/>
      <c r="N45" s="1303"/>
      <c r="O45" s="1303"/>
      <c r="P45" s="1306">
        <v>0</v>
      </c>
      <c r="Q45" s="281"/>
    </row>
    <row r="46" spans="2:17" ht="12.75">
      <c r="B46" s="292">
        <v>10</v>
      </c>
      <c r="C46" s="2124"/>
      <c r="D46" s="2118"/>
      <c r="E46" s="298" t="s">
        <v>2545</v>
      </c>
      <c r="F46" s="282">
        <v>2.4</v>
      </c>
      <c r="G46" s="282">
        <v>11</v>
      </c>
      <c r="H46" s="282"/>
      <c r="I46" s="282"/>
      <c r="J46" s="470"/>
      <c r="K46" s="467"/>
      <c r="L46" s="1303"/>
      <c r="M46" s="1303"/>
      <c r="N46" s="1303"/>
      <c r="O46" s="1303"/>
      <c r="P46" s="1306">
        <v>0</v>
      </c>
      <c r="Q46" s="281"/>
    </row>
    <row r="47" spans="2:17" ht="12.75" customHeight="1">
      <c r="B47" s="465"/>
      <c r="C47" s="282" t="s">
        <v>2556</v>
      </c>
      <c r="D47" s="516" t="s">
        <v>2557</v>
      </c>
      <c r="E47" s="298" t="s">
        <v>2545</v>
      </c>
      <c r="F47" s="282">
        <v>2.5</v>
      </c>
      <c r="G47" s="282">
        <v>1</v>
      </c>
      <c r="H47" s="282"/>
      <c r="I47" s="282"/>
      <c r="J47" s="470"/>
      <c r="K47" s="467"/>
      <c r="L47" s="1303"/>
      <c r="M47" s="1303"/>
      <c r="N47" s="1303"/>
      <c r="O47" s="1303"/>
      <c r="P47" s="1305">
        <v>0</v>
      </c>
      <c r="Q47" s="281"/>
    </row>
    <row r="48" spans="2:17" ht="12.75" customHeight="1">
      <c r="B48" s="284">
        <v>11</v>
      </c>
      <c r="C48" s="282" t="s">
        <v>2558</v>
      </c>
      <c r="D48" s="516" t="s">
        <v>2559</v>
      </c>
      <c r="E48" s="298" t="s">
        <v>2545</v>
      </c>
      <c r="F48" s="282">
        <v>2.3</v>
      </c>
      <c r="G48" s="282">
        <v>1</v>
      </c>
      <c r="H48" s="282">
        <v>1</v>
      </c>
      <c r="I48" s="282">
        <f>H48*F48</f>
        <v>2.3</v>
      </c>
      <c r="J48" s="470"/>
      <c r="K48" s="282">
        <v>1</v>
      </c>
      <c r="L48" s="1303">
        <v>2.3</v>
      </c>
      <c r="M48" s="1303"/>
      <c r="N48" s="1303"/>
      <c r="O48" s="1303"/>
      <c r="P48" s="1305">
        <v>0</v>
      </c>
      <c r="Q48" s="281"/>
    </row>
    <row r="49" spans="2:17" ht="13.5" customHeight="1">
      <c r="B49" s="284">
        <v>12</v>
      </c>
      <c r="C49" s="282" t="s">
        <v>2560</v>
      </c>
      <c r="D49" s="516" t="s">
        <v>2559</v>
      </c>
      <c r="E49" s="298" t="s">
        <v>2545</v>
      </c>
      <c r="F49" s="282">
        <v>3</v>
      </c>
      <c r="G49" s="282">
        <v>8</v>
      </c>
      <c r="H49" s="282">
        <v>7</v>
      </c>
      <c r="I49" s="282">
        <f>H49*F49</f>
        <v>21</v>
      </c>
      <c r="J49" s="470"/>
      <c r="K49" s="282">
        <v>6</v>
      </c>
      <c r="L49" s="1303">
        <v>18</v>
      </c>
      <c r="M49" s="794">
        <v>4</v>
      </c>
      <c r="N49" s="1303">
        <v>12</v>
      </c>
      <c r="O49" s="794">
        <v>4</v>
      </c>
      <c r="P49" s="1305">
        <v>12</v>
      </c>
      <c r="Q49" s="281"/>
    </row>
    <row r="50" spans="2:18" ht="26.25" customHeight="1">
      <c r="B50" s="284">
        <v>13</v>
      </c>
      <c r="C50" s="282" t="s">
        <v>2561</v>
      </c>
      <c r="D50" s="516" t="s">
        <v>2562</v>
      </c>
      <c r="E50" s="282">
        <v>35</v>
      </c>
      <c r="F50" s="285">
        <v>3.5</v>
      </c>
      <c r="G50" s="285"/>
      <c r="H50" s="285"/>
      <c r="I50" s="285"/>
      <c r="J50" s="614"/>
      <c r="K50" s="467"/>
      <c r="L50" s="1307"/>
      <c r="M50" s="1303"/>
      <c r="N50" s="1308"/>
      <c r="O50" s="1308"/>
      <c r="P50" s="1308">
        <v>0</v>
      </c>
      <c r="Q50" s="555"/>
      <c r="R50" s="15"/>
    </row>
    <row r="51" spans="2:18" ht="14.25">
      <c r="B51" s="2111">
        <v>14</v>
      </c>
      <c r="C51" s="2114" t="s">
        <v>2563</v>
      </c>
      <c r="D51" s="2115"/>
      <c r="E51" s="282" t="s">
        <v>1560</v>
      </c>
      <c r="F51" s="284" t="s">
        <v>568</v>
      </c>
      <c r="G51" s="284"/>
      <c r="H51" s="284"/>
      <c r="I51" s="473">
        <f>I14+I21+I29+I33+I40</f>
        <v>0</v>
      </c>
      <c r="J51" s="615"/>
      <c r="K51" s="473"/>
      <c r="L51" s="1309">
        <v>0</v>
      </c>
      <c r="M51" s="1310"/>
      <c r="N51" s="1311"/>
      <c r="O51" s="1312" t="s">
        <v>568</v>
      </c>
      <c r="P51" s="1313">
        <v>0</v>
      </c>
      <c r="Q51" s="556"/>
      <c r="R51" s="15"/>
    </row>
    <row r="52" spans="2:18" ht="14.25">
      <c r="B52" s="2112"/>
      <c r="C52" s="2116"/>
      <c r="D52" s="2117"/>
      <c r="E52" s="282" t="s">
        <v>1561</v>
      </c>
      <c r="F52" s="284" t="s">
        <v>568</v>
      </c>
      <c r="G52" s="284"/>
      <c r="H52" s="284"/>
      <c r="I52" s="473">
        <f>I15+I22+I30+I34+I41+I45+I50</f>
        <v>0</v>
      </c>
      <c r="J52" s="615"/>
      <c r="K52" s="473"/>
      <c r="L52" s="1309">
        <v>0</v>
      </c>
      <c r="M52" s="1310"/>
      <c r="N52" s="1311"/>
      <c r="O52" s="1312" t="s">
        <v>568</v>
      </c>
      <c r="P52" s="1313">
        <v>0</v>
      </c>
      <c r="Q52" s="556"/>
      <c r="R52" s="15"/>
    </row>
    <row r="53" spans="2:18" ht="14.25">
      <c r="B53" s="2112"/>
      <c r="C53" s="2116"/>
      <c r="D53" s="2117"/>
      <c r="E53" s="282" t="s">
        <v>2319</v>
      </c>
      <c r="F53" s="284"/>
      <c r="G53" s="284"/>
      <c r="H53" s="284"/>
      <c r="I53" s="473">
        <f>I23+I31+I36+I42+I43+I44+I46+I47+I48+I49</f>
        <v>292.3</v>
      </c>
      <c r="J53" s="615"/>
      <c r="K53" s="473"/>
      <c r="L53" s="1316">
        <v>239.40000000000003</v>
      </c>
      <c r="M53" s="1317"/>
      <c r="N53" s="1318">
        <v>181.2</v>
      </c>
      <c r="O53" s="1312"/>
      <c r="P53" s="1313">
        <v>181.2</v>
      </c>
      <c r="Q53" s="556"/>
      <c r="R53" s="15"/>
    </row>
    <row r="54" spans="2:18" ht="14.25">
      <c r="B54" s="2113"/>
      <c r="C54" s="2118"/>
      <c r="D54" s="2119"/>
      <c r="E54" s="282" t="s">
        <v>1563</v>
      </c>
      <c r="F54" s="284" t="s">
        <v>568</v>
      </c>
      <c r="G54" s="284"/>
      <c r="H54" s="284"/>
      <c r="I54" s="473">
        <v>0</v>
      </c>
      <c r="J54" s="615"/>
      <c r="K54" s="473"/>
      <c r="L54" s="1316">
        <v>0</v>
      </c>
      <c r="M54" s="1317"/>
      <c r="N54" s="1318"/>
      <c r="O54" s="1312" t="s">
        <v>568</v>
      </c>
      <c r="P54" s="1313">
        <v>0</v>
      </c>
      <c r="Q54" s="556"/>
      <c r="R54" s="15"/>
    </row>
    <row r="55" spans="2:18" ht="14.25">
      <c r="B55" s="1105"/>
      <c r="C55" s="2120" t="s">
        <v>1452</v>
      </c>
      <c r="D55" s="2121"/>
      <c r="E55" s="282" t="s">
        <v>1560</v>
      </c>
      <c r="F55" s="284"/>
      <c r="G55" s="284"/>
      <c r="H55" s="284"/>
      <c r="I55" s="473"/>
      <c r="J55" s="615"/>
      <c r="K55" s="473"/>
      <c r="L55" s="1316"/>
      <c r="M55" s="1317"/>
      <c r="N55" s="1318"/>
      <c r="O55" s="1312"/>
      <c r="P55" s="1313"/>
      <c r="Q55" s="556"/>
      <c r="R55" s="15"/>
    </row>
    <row r="56" spans="2:18" ht="14.25">
      <c r="B56" s="1105"/>
      <c r="C56" s="2117"/>
      <c r="D56" s="2122"/>
      <c r="E56" s="282" t="s">
        <v>1561</v>
      </c>
      <c r="F56" s="284"/>
      <c r="G56" s="284"/>
      <c r="H56" s="284"/>
      <c r="I56" s="473"/>
      <c r="J56" s="615"/>
      <c r="K56" s="473"/>
      <c r="L56" s="1316"/>
      <c r="M56" s="1317"/>
      <c r="N56" s="1318"/>
      <c r="O56" s="1312"/>
      <c r="P56" s="1313"/>
      <c r="Q56" s="556"/>
      <c r="R56" s="15"/>
    </row>
    <row r="57" spans="2:18" ht="14.25">
      <c r="B57" s="1105"/>
      <c r="C57" s="2117"/>
      <c r="D57" s="2122"/>
      <c r="E57" s="282" t="s">
        <v>2319</v>
      </c>
      <c r="F57" s="284"/>
      <c r="G57" s="284"/>
      <c r="H57" s="284"/>
      <c r="I57" s="473">
        <f>I53+'П2.1'!I42</f>
        <v>318.0005</v>
      </c>
      <c r="J57" s="615"/>
      <c r="K57" s="473"/>
      <c r="L57" s="1316">
        <v>261.50600000000003</v>
      </c>
      <c r="M57" s="1317"/>
      <c r="N57" s="1318"/>
      <c r="O57" s="1312"/>
      <c r="P57" s="1313"/>
      <c r="Q57" s="556"/>
      <c r="R57" s="15"/>
    </row>
    <row r="58" spans="2:18" ht="14.25">
      <c r="B58" s="1105"/>
      <c r="C58" s="2117"/>
      <c r="D58" s="2122"/>
      <c r="E58" s="282" t="s">
        <v>1563</v>
      </c>
      <c r="F58" s="284"/>
      <c r="G58" s="284"/>
      <c r="H58" s="284"/>
      <c r="I58" s="473">
        <f>'П2.1'!I49</f>
        <v>9.774</v>
      </c>
      <c r="J58" s="615"/>
      <c r="K58" s="473"/>
      <c r="L58" s="1316">
        <v>9.774</v>
      </c>
      <c r="M58" s="1317"/>
      <c r="N58" s="1318"/>
      <c r="O58" s="1312"/>
      <c r="P58" s="1313"/>
      <c r="Q58" s="556"/>
      <c r="R58" s="15"/>
    </row>
    <row r="59" spans="2:18" ht="15.75">
      <c r="B59" s="300" t="s">
        <v>2281</v>
      </c>
      <c r="C59" s="300"/>
      <c r="D59" s="300"/>
      <c r="E59" s="1106" t="s">
        <v>1453</v>
      </c>
      <c r="F59" s="558"/>
      <c r="G59" s="1586">
        <v>897.9</v>
      </c>
      <c r="H59" s="558"/>
      <c r="I59" s="1172">
        <f>SUM(I55:I58)</f>
        <v>327.7745</v>
      </c>
      <c r="J59" s="616"/>
      <c r="K59" s="473"/>
      <c r="L59" s="1316">
        <v>271.28000000000003</v>
      </c>
      <c r="M59" s="1319"/>
      <c r="N59" s="1318">
        <v>181.2</v>
      </c>
      <c r="O59" s="1314"/>
      <c r="P59" s="1315"/>
      <c r="Q59" s="299"/>
      <c r="R59" s="15"/>
    </row>
    <row r="60" spans="2:18" ht="31.5" customHeight="1">
      <c r="B60" s="2108" t="s">
        <v>2564</v>
      </c>
      <c r="C60" s="2108"/>
      <c r="D60" s="2108"/>
      <c r="E60" s="2108"/>
      <c r="F60" s="2108"/>
      <c r="G60" s="2108"/>
      <c r="H60" s="2108"/>
      <c r="I60" s="2108"/>
      <c r="J60" s="617"/>
      <c r="K60" s="618"/>
      <c r="L60" s="556"/>
      <c r="M60" s="301"/>
      <c r="O60" s="280"/>
      <c r="P60" s="281"/>
      <c r="Q60" s="281"/>
      <c r="R60" s="15"/>
    </row>
    <row r="61" spans="2:17" ht="24" customHeight="1">
      <c r="B61" s="2108" t="s">
        <v>2565</v>
      </c>
      <c r="C61" s="2108"/>
      <c r="D61" s="2108"/>
      <c r="E61" s="2108"/>
      <c r="F61" s="2108"/>
      <c r="G61" s="2108"/>
      <c r="H61" s="2108"/>
      <c r="I61" s="2108"/>
      <c r="J61" s="2109"/>
      <c r="K61" s="2109"/>
      <c r="L61" s="280"/>
      <c r="M61" s="280"/>
      <c r="N61" s="280"/>
      <c r="O61" s="280"/>
      <c r="P61" s="280"/>
      <c r="Q61" s="280"/>
    </row>
    <row r="62" spans="2:17" ht="25.5" customHeight="1">
      <c r="B62" s="2108" t="s">
        <v>2566</v>
      </c>
      <c r="C62" s="2108"/>
      <c r="D62" s="2108"/>
      <c r="E62" s="2108"/>
      <c r="F62" s="2108"/>
      <c r="G62" s="2108"/>
      <c r="H62" s="2108"/>
      <c r="I62" s="2108"/>
      <c r="J62" s="2109"/>
      <c r="K62" s="2109"/>
      <c r="L62" s="281"/>
      <c r="M62" s="280"/>
      <c r="N62" s="280"/>
      <c r="O62" s="280"/>
      <c r="P62" s="280"/>
      <c r="Q62" s="280"/>
    </row>
    <row r="63" spans="2:17" ht="24.75" customHeight="1">
      <c r="B63" s="2108" t="s">
        <v>2567</v>
      </c>
      <c r="C63" s="2108"/>
      <c r="D63" s="2108"/>
      <c r="E63" s="2108"/>
      <c r="F63" s="2108"/>
      <c r="G63" s="2108"/>
      <c r="H63" s="2108"/>
      <c r="I63" s="2108"/>
      <c r="J63" s="2109"/>
      <c r="K63" s="2109"/>
      <c r="L63" s="280"/>
      <c r="M63" s="280"/>
      <c r="N63" s="280"/>
      <c r="O63" s="280"/>
      <c r="P63" s="280"/>
      <c r="Q63" s="280"/>
    </row>
    <row r="64" spans="2:17" ht="32.25" customHeight="1">
      <c r="B64" s="2108" t="s">
        <v>2571</v>
      </c>
      <c r="C64" s="2108"/>
      <c r="D64" s="2108"/>
      <c r="E64" s="2108"/>
      <c r="F64" s="2108"/>
      <c r="G64" s="2108"/>
      <c r="H64" s="2108"/>
      <c r="I64" s="2108"/>
      <c r="J64" s="2110"/>
      <c r="K64" s="2110"/>
      <c r="L64" s="280"/>
      <c r="M64" s="280"/>
      <c r="N64" s="280"/>
      <c r="O64" s="280"/>
      <c r="P64" s="280"/>
      <c r="Q64" s="280"/>
    </row>
    <row r="65" spans="2:17" ht="38.25" customHeight="1">
      <c r="B65" s="2108" t="s">
        <v>2572</v>
      </c>
      <c r="C65" s="2108"/>
      <c r="D65" s="2108"/>
      <c r="E65" s="2108"/>
      <c r="F65" s="2108"/>
      <c r="G65" s="2108"/>
      <c r="H65" s="2108"/>
      <c r="I65" s="2108"/>
      <c r="J65" s="2110"/>
      <c r="K65" s="2110"/>
      <c r="L65" s="280"/>
      <c r="M65" s="280"/>
      <c r="N65" s="280"/>
      <c r="O65" s="280"/>
      <c r="P65" s="280"/>
      <c r="Q65" s="280"/>
    </row>
    <row r="66" spans="2:17" ht="12.75">
      <c r="B66" s="2108" t="s">
        <v>2573</v>
      </c>
      <c r="C66" s="2108"/>
      <c r="D66" s="2108"/>
      <c r="E66" s="2108"/>
      <c r="F66" s="2108"/>
      <c r="G66" s="2108"/>
      <c r="H66" s="2108"/>
      <c r="I66" s="2108"/>
      <c r="J66" s="2108"/>
      <c r="K66" s="2108"/>
      <c r="L66" s="280"/>
      <c r="M66" s="280"/>
      <c r="N66" s="280"/>
      <c r="O66" s="280"/>
      <c r="P66" s="280"/>
      <c r="Q66" s="280"/>
    </row>
    <row r="67" spans="2:17" ht="23.25" customHeight="1">
      <c r="B67" s="2108" t="s">
        <v>2574</v>
      </c>
      <c r="C67" s="2108"/>
      <c r="D67" s="2108"/>
      <c r="E67" s="2108"/>
      <c r="F67" s="2108"/>
      <c r="G67" s="2108"/>
      <c r="H67" s="2108"/>
      <c r="I67" s="2108"/>
      <c r="J67" s="2108"/>
      <c r="K67" s="2108"/>
      <c r="L67" s="280"/>
      <c r="M67" s="280"/>
      <c r="N67" s="280"/>
      <c r="O67" s="280"/>
      <c r="P67" s="280"/>
      <c r="Q67" s="280"/>
    </row>
    <row r="68" spans="2:17" ht="12.75">
      <c r="B68" s="302"/>
      <c r="C68" s="302"/>
      <c r="D68" s="302"/>
      <c r="E68" s="302"/>
      <c r="F68" s="302"/>
      <c r="G68" s="302"/>
      <c r="H68" s="302"/>
      <c r="I68" s="302"/>
      <c r="J68" s="300"/>
      <c r="K68" s="300"/>
      <c r="L68" s="280"/>
      <c r="M68" s="280"/>
      <c r="N68" s="280"/>
      <c r="O68" s="280"/>
      <c r="P68" s="280"/>
      <c r="Q68" s="280"/>
    </row>
    <row r="69" spans="2:17" ht="12.75">
      <c r="B69" s="303"/>
      <c r="C69" s="304"/>
      <c r="D69" s="300"/>
      <c r="E69" s="300"/>
      <c r="F69" s="300"/>
      <c r="G69" s="300"/>
      <c r="H69" s="300"/>
      <c r="I69" s="300"/>
      <c r="J69" s="300"/>
      <c r="K69" s="300"/>
      <c r="L69" s="280"/>
      <c r="M69" s="280"/>
      <c r="N69" s="280"/>
      <c r="O69" s="280"/>
      <c r="P69" s="280"/>
      <c r="Q69" s="280"/>
    </row>
    <row r="70" spans="2:17" ht="12.75">
      <c r="B70" s="280"/>
      <c r="C70" s="304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</row>
  </sheetData>
  <sheetProtection/>
  <mergeCells count="38">
    <mergeCell ref="B3:I3"/>
    <mergeCell ref="B5:B7"/>
    <mergeCell ref="C5:C7"/>
    <mergeCell ref="D5:D7"/>
    <mergeCell ref="E5:E7"/>
    <mergeCell ref="M5:N5"/>
    <mergeCell ref="O5:P5"/>
    <mergeCell ref="D32:D36"/>
    <mergeCell ref="D9:D15"/>
    <mergeCell ref="H5:I5"/>
    <mergeCell ref="K5:L5"/>
    <mergeCell ref="B16:B23"/>
    <mergeCell ref="C16:C23"/>
    <mergeCell ref="D16:D23"/>
    <mergeCell ref="F5:F6"/>
    <mergeCell ref="B9:B15"/>
    <mergeCell ref="C9:C15"/>
    <mergeCell ref="B24:B31"/>
    <mergeCell ref="C24:C31"/>
    <mergeCell ref="D24:D31"/>
    <mergeCell ref="B32:B35"/>
    <mergeCell ref="B37:B41"/>
    <mergeCell ref="C37:C41"/>
    <mergeCell ref="D37:D41"/>
    <mergeCell ref="C32:C36"/>
    <mergeCell ref="B51:B54"/>
    <mergeCell ref="C51:D54"/>
    <mergeCell ref="B60:I60"/>
    <mergeCell ref="B61:K61"/>
    <mergeCell ref="C55:D58"/>
    <mergeCell ref="C45:C46"/>
    <mergeCell ref="D45:D46"/>
    <mergeCell ref="B66:K66"/>
    <mergeCell ref="B67:K67"/>
    <mergeCell ref="B62:K62"/>
    <mergeCell ref="B63:K63"/>
    <mergeCell ref="B64:K64"/>
    <mergeCell ref="B65:K65"/>
  </mergeCells>
  <printOptions/>
  <pageMargins left="0.75" right="0.17" top="0.62" bottom="0.57" header="0.5" footer="0.5"/>
  <pageSetup fitToHeight="1" fitToWidth="1" horizontalDpi="600" verticalDpi="600"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201"/>
  <sheetViews>
    <sheetView zoomScale="80" zoomScaleNormal="80" zoomScalePageLayoutView="0" workbookViewId="0" topLeftCell="A44">
      <selection activeCell="W65" sqref="W65"/>
    </sheetView>
  </sheetViews>
  <sheetFormatPr defaultColWidth="9.00390625" defaultRowHeight="12.75"/>
  <cols>
    <col min="1" max="1" width="4.625" style="0" customWidth="1"/>
    <col min="2" max="2" width="6.875" style="0" customWidth="1"/>
    <col min="3" max="3" width="47.375" style="0" customWidth="1"/>
    <col min="4" max="4" width="13.375" style="0" customWidth="1"/>
    <col min="5" max="5" width="9.75390625" style="0" customWidth="1"/>
    <col min="6" max="6" width="7.625" style="0" customWidth="1"/>
    <col min="7" max="7" width="11.875" style="0" customWidth="1"/>
    <col min="8" max="8" width="13.375" style="0" customWidth="1"/>
    <col min="9" max="9" width="10.75390625" style="0" customWidth="1"/>
    <col min="10" max="10" width="13.00390625" style="0" customWidth="1"/>
    <col min="11" max="11" width="11.125" style="0" customWidth="1"/>
    <col min="12" max="12" width="12.625" style="0" customWidth="1"/>
    <col min="13" max="13" width="12.00390625" style="0" customWidth="1"/>
    <col min="14" max="14" width="12.625" style="0" customWidth="1"/>
    <col min="15" max="15" width="14.00390625" style="0" customWidth="1"/>
    <col min="16" max="16" width="13.375" style="0" customWidth="1"/>
    <col min="17" max="17" width="14.25390625" style="0" customWidth="1"/>
    <col min="18" max="18" width="15.125" style="0" customWidth="1"/>
    <col min="19" max="19" width="16.00390625" style="0" customWidth="1"/>
    <col min="20" max="20" width="11.00390625" style="0" bestFit="1" customWidth="1"/>
    <col min="21" max="21" width="9.875" style="0" bestFit="1" customWidth="1"/>
    <col min="22" max="22" width="13.875" style="0" customWidth="1"/>
    <col min="23" max="23" width="12.125" style="0" customWidth="1"/>
    <col min="24" max="24" width="13.875" style="0" customWidth="1"/>
    <col min="25" max="25" width="23.375" style="0" customWidth="1"/>
    <col min="31" max="31" width="12.875" style="0" customWidth="1"/>
    <col min="32" max="32" width="22.375" style="0" customWidth="1"/>
  </cols>
  <sheetData>
    <row r="1" ht="13.5" thickBot="1"/>
    <row r="2" spans="2:21" ht="12.75">
      <c r="B2" s="1816" t="s">
        <v>1384</v>
      </c>
      <c r="C2" s="1817"/>
      <c r="D2" s="1817"/>
      <c r="E2" s="1817"/>
      <c r="F2" s="1817"/>
      <c r="G2" s="1818"/>
      <c r="H2" s="14"/>
      <c r="I2" s="14"/>
      <c r="J2" s="14"/>
      <c r="K2" s="14"/>
      <c r="L2" s="14"/>
      <c r="M2" s="1822" t="s">
        <v>2437</v>
      </c>
      <c r="N2" s="1823"/>
      <c r="U2" s="66"/>
    </row>
    <row r="3" spans="2:14" ht="13.5" thickBot="1">
      <c r="B3" s="1819"/>
      <c r="C3" s="1820"/>
      <c r="D3" s="1820"/>
      <c r="E3" s="1820"/>
      <c r="F3" s="1820"/>
      <c r="G3" s="1821"/>
      <c r="H3" s="42"/>
      <c r="I3" s="42"/>
      <c r="J3" s="42"/>
      <c r="K3" s="42"/>
      <c r="L3" s="171"/>
      <c r="M3" s="1824"/>
      <c r="N3" s="1825"/>
    </row>
    <row r="4" spans="2:19" ht="13.5" thickBot="1">
      <c r="B4" s="1826" t="s">
        <v>1417</v>
      </c>
      <c r="C4" s="1828" t="s">
        <v>1558</v>
      </c>
      <c r="D4" s="1830" t="s">
        <v>1559</v>
      </c>
      <c r="E4" s="1804" t="s">
        <v>192</v>
      </c>
      <c r="F4" s="1773"/>
      <c r="G4" s="1773"/>
      <c r="H4" s="1773"/>
      <c r="I4" s="1774"/>
      <c r="J4" s="1805" t="s">
        <v>220</v>
      </c>
      <c r="K4" s="1806"/>
      <c r="L4" s="1806"/>
      <c r="M4" s="1806"/>
      <c r="N4" s="1807"/>
      <c r="O4" s="1805" t="s">
        <v>2530</v>
      </c>
      <c r="P4" s="1806"/>
      <c r="Q4" s="1806"/>
      <c r="R4" s="1806"/>
      <c r="S4" s="1807"/>
    </row>
    <row r="5" spans="2:19" ht="13.5" thickBot="1">
      <c r="B5" s="1827"/>
      <c r="C5" s="1829"/>
      <c r="D5" s="1831"/>
      <c r="E5" s="306" t="s">
        <v>1560</v>
      </c>
      <c r="F5" s="305" t="s">
        <v>1561</v>
      </c>
      <c r="G5" s="305" t="s">
        <v>1562</v>
      </c>
      <c r="H5" s="305" t="s">
        <v>1563</v>
      </c>
      <c r="I5" s="371" t="s">
        <v>1564</v>
      </c>
      <c r="J5" s="372" t="s">
        <v>1560</v>
      </c>
      <c r="K5" s="307" t="s">
        <v>1561</v>
      </c>
      <c r="L5" s="307" t="s">
        <v>1562</v>
      </c>
      <c r="M5" s="307" t="s">
        <v>1563</v>
      </c>
      <c r="N5" s="373" t="s">
        <v>1564</v>
      </c>
      <c r="O5" s="372" t="s">
        <v>1560</v>
      </c>
      <c r="P5" s="430" t="s">
        <v>1561</v>
      </c>
      <c r="Q5" s="307" t="s">
        <v>1562</v>
      </c>
      <c r="R5" s="463" t="s">
        <v>1563</v>
      </c>
      <c r="S5" s="549" t="s">
        <v>1564</v>
      </c>
    </row>
    <row r="6" spans="2:19" ht="13.5" thickBot="1">
      <c r="B6" s="306">
        <v>1</v>
      </c>
      <c r="C6" s="305">
        <v>2</v>
      </c>
      <c r="D6" s="523">
        <v>3</v>
      </c>
      <c r="E6" s="528">
        <v>4</v>
      </c>
      <c r="F6" s="305">
        <v>5</v>
      </c>
      <c r="G6" s="305">
        <v>6</v>
      </c>
      <c r="H6" s="305">
        <v>7</v>
      </c>
      <c r="I6" s="371">
        <v>8</v>
      </c>
      <c r="J6" s="372">
        <v>9</v>
      </c>
      <c r="K6" s="307">
        <v>10</v>
      </c>
      <c r="L6" s="307">
        <v>11</v>
      </c>
      <c r="M6" s="307">
        <v>12</v>
      </c>
      <c r="N6" s="373">
        <v>13</v>
      </c>
      <c r="O6" s="550">
        <v>14</v>
      </c>
      <c r="P6" s="521">
        <v>15</v>
      </c>
      <c r="Q6" s="363">
        <v>16</v>
      </c>
      <c r="R6" s="522">
        <v>17</v>
      </c>
      <c r="S6" s="464">
        <v>18</v>
      </c>
    </row>
    <row r="7" spans="2:19" ht="15.75">
      <c r="B7" s="517" t="s">
        <v>1565</v>
      </c>
      <c r="C7" s="518" t="s">
        <v>1566</v>
      </c>
      <c r="D7" s="524" t="s">
        <v>1498</v>
      </c>
      <c r="E7" s="529"/>
      <c r="F7" s="519"/>
      <c r="G7" s="519"/>
      <c r="H7" s="519"/>
      <c r="I7" s="530"/>
      <c r="J7" s="541"/>
      <c r="K7" s="520"/>
      <c r="L7" s="520">
        <f>L8+L12+L15+L18+L26+L33</f>
        <v>1.666233816</v>
      </c>
      <c r="M7" s="520">
        <f>M8+M12+M15+M18+M26+M33</f>
        <v>0.024</v>
      </c>
      <c r="N7" s="542">
        <f>SUM(J7:M7)</f>
        <v>1.6902338160000001</v>
      </c>
      <c r="O7" s="529"/>
      <c r="P7" s="519"/>
      <c r="Q7" s="519">
        <f>Q8+Q12+Q15+Q18+Q26+Q33</f>
        <v>1.5175356871680001</v>
      </c>
      <c r="R7" s="519">
        <f>R8+R12+R15+R18+R26+R33</f>
        <v>0.02172</v>
      </c>
      <c r="S7" s="530">
        <f>SUM(O7:R7)</f>
        <v>1.539255687168</v>
      </c>
    </row>
    <row r="8" spans="1:19" ht="30">
      <c r="A8" s="124"/>
      <c r="B8" s="173" t="s">
        <v>1567</v>
      </c>
      <c r="C8" s="174" t="s">
        <v>1601</v>
      </c>
      <c r="D8" s="525" t="s">
        <v>1498</v>
      </c>
      <c r="E8" s="531"/>
      <c r="F8" s="193"/>
      <c r="G8" s="192"/>
      <c r="H8" s="194"/>
      <c r="I8" s="532"/>
      <c r="J8" s="531"/>
      <c r="K8" s="193"/>
      <c r="L8" s="193">
        <f>L9*L10*L11/1000000</f>
        <v>0.33604761600000005</v>
      </c>
      <c r="M8" s="192"/>
      <c r="N8" s="543">
        <f>SUM(J8:M8)</f>
        <v>0.33604761600000005</v>
      </c>
      <c r="O8" s="531"/>
      <c r="P8" s="193"/>
      <c r="Q8" s="776">
        <f>Q9*Q10*Q11*1.036/1000000</f>
        <v>0.18975488716799999</v>
      </c>
      <c r="R8" s="194"/>
      <c r="S8" s="532">
        <f>SUM(O8:R8)</f>
        <v>0.18975488716799999</v>
      </c>
    </row>
    <row r="9" spans="1:19" ht="12.75">
      <c r="A9" s="124"/>
      <c r="B9" s="125" t="s">
        <v>1568</v>
      </c>
      <c r="C9" s="122" t="s">
        <v>1569</v>
      </c>
      <c r="D9" s="65" t="s">
        <v>1570</v>
      </c>
      <c r="E9" s="533"/>
      <c r="F9" s="191"/>
      <c r="G9" s="483"/>
      <c r="H9" s="195"/>
      <c r="I9" s="534"/>
      <c r="J9" s="533"/>
      <c r="K9" s="191"/>
      <c r="L9" s="485">
        <v>2.88</v>
      </c>
      <c r="M9" s="123"/>
      <c r="N9" s="140"/>
      <c r="O9" s="533"/>
      <c r="P9" s="191"/>
      <c r="Q9" s="195">
        <v>2.88</v>
      </c>
      <c r="R9" s="195"/>
      <c r="S9" s="534"/>
    </row>
    <row r="10" spans="1:19" ht="12.75">
      <c r="A10" s="124"/>
      <c r="B10" s="125" t="s">
        <v>1571</v>
      </c>
      <c r="C10" s="122" t="s">
        <v>1602</v>
      </c>
      <c r="D10" s="484" t="s">
        <v>1572</v>
      </c>
      <c r="E10" s="432"/>
      <c r="F10" s="137"/>
      <c r="G10" s="276"/>
      <c r="H10" s="123"/>
      <c r="I10" s="535"/>
      <c r="J10" s="544"/>
      <c r="K10" s="138"/>
      <c r="L10" s="137">
        <v>13.32</v>
      </c>
      <c r="M10" s="123"/>
      <c r="N10" s="535">
        <f>SUM(J10:M10)</f>
        <v>13.32</v>
      </c>
      <c r="O10" s="544"/>
      <c r="P10" s="138"/>
      <c r="Q10" s="276">
        <f>(3*2*1000+2*630)/1000</f>
        <v>7.26</v>
      </c>
      <c r="R10" s="123"/>
      <c r="S10" s="140"/>
    </row>
    <row r="11" spans="1:19" ht="12.75">
      <c r="A11" s="124"/>
      <c r="B11" s="125" t="s">
        <v>1573</v>
      </c>
      <c r="C11" s="122" t="s">
        <v>1603</v>
      </c>
      <c r="D11" s="484" t="s">
        <v>1574</v>
      </c>
      <c r="E11" s="536"/>
      <c r="F11" s="357"/>
      <c r="G11" s="357"/>
      <c r="H11" s="123"/>
      <c r="I11" s="140"/>
      <c r="J11" s="431"/>
      <c r="K11" s="123"/>
      <c r="L11" s="123">
        <v>8760</v>
      </c>
      <c r="M11" s="123"/>
      <c r="N11" s="140"/>
      <c r="O11" s="431"/>
      <c r="P11" s="123"/>
      <c r="Q11" s="123">
        <v>8760</v>
      </c>
      <c r="R11" s="123"/>
      <c r="S11" s="140"/>
    </row>
    <row r="12" spans="1:19" ht="12.75">
      <c r="A12" s="124"/>
      <c r="B12" s="125" t="s">
        <v>1424</v>
      </c>
      <c r="C12" s="122" t="s">
        <v>1604</v>
      </c>
      <c r="D12" s="484" t="s">
        <v>1498</v>
      </c>
      <c r="E12" s="432"/>
      <c r="F12" s="137"/>
      <c r="G12" s="137"/>
      <c r="H12" s="137"/>
      <c r="I12" s="358"/>
      <c r="J12" s="137"/>
      <c r="K12" s="137"/>
      <c r="L12" s="137"/>
      <c r="M12" s="137"/>
      <c r="N12" s="358"/>
      <c r="O12" s="432"/>
      <c r="P12" s="137"/>
      <c r="Q12" s="137">
        <f>Q14*Q13/1000000*1.036</f>
        <v>0</v>
      </c>
      <c r="R12" s="137"/>
      <c r="S12" s="358"/>
    </row>
    <row r="13" spans="1:19" ht="23.25" customHeight="1">
      <c r="A13" s="124"/>
      <c r="B13" s="125" t="s">
        <v>1568</v>
      </c>
      <c r="C13" s="122" t="s">
        <v>1569</v>
      </c>
      <c r="D13" s="484" t="s">
        <v>1605</v>
      </c>
      <c r="E13" s="432"/>
      <c r="F13" s="137"/>
      <c r="G13" s="137"/>
      <c r="H13" s="137"/>
      <c r="I13" s="358"/>
      <c r="J13" s="432"/>
      <c r="K13" s="137"/>
      <c r="L13" s="137"/>
      <c r="M13" s="137"/>
      <c r="N13" s="358"/>
      <c r="O13" s="432"/>
      <c r="P13" s="137"/>
      <c r="Q13" s="138">
        <v>67.6</v>
      </c>
      <c r="R13" s="137"/>
      <c r="S13" s="358"/>
    </row>
    <row r="14" spans="1:19" ht="12.75">
      <c r="A14" s="124"/>
      <c r="B14" s="125" t="s">
        <v>1571</v>
      </c>
      <c r="C14" s="122" t="s">
        <v>1576</v>
      </c>
      <c r="D14" s="484" t="s">
        <v>1577</v>
      </c>
      <c r="E14" s="432"/>
      <c r="F14" s="137"/>
      <c r="G14" s="276"/>
      <c r="H14" s="137"/>
      <c r="I14" s="358"/>
      <c r="J14" s="432"/>
      <c r="K14" s="137"/>
      <c r="L14" s="137"/>
      <c r="M14" s="137"/>
      <c r="N14" s="358"/>
      <c r="O14" s="432"/>
      <c r="P14" s="137"/>
      <c r="Q14" s="276"/>
      <c r="R14" s="137"/>
      <c r="S14" s="358"/>
    </row>
    <row r="15" spans="1:19" ht="12.75">
      <c r="A15" s="124"/>
      <c r="B15" s="125" t="s">
        <v>1578</v>
      </c>
      <c r="C15" s="122" t="s">
        <v>1606</v>
      </c>
      <c r="D15" s="484" t="s">
        <v>1498</v>
      </c>
      <c r="E15" s="432"/>
      <c r="F15" s="137"/>
      <c r="G15" s="137"/>
      <c r="H15" s="121"/>
      <c r="I15" s="506"/>
      <c r="J15" s="432"/>
      <c r="K15" s="137"/>
      <c r="L15" s="137"/>
      <c r="M15" s="137"/>
      <c r="N15" s="358"/>
      <c r="O15" s="432"/>
      <c r="P15" s="137"/>
      <c r="Q15" s="137"/>
      <c r="R15" s="121"/>
      <c r="S15" s="506"/>
    </row>
    <row r="16" spans="2:19" ht="25.5">
      <c r="B16" s="125" t="s">
        <v>1568</v>
      </c>
      <c r="C16" s="122" t="s">
        <v>1569</v>
      </c>
      <c r="D16" s="484" t="s">
        <v>1605</v>
      </c>
      <c r="E16" s="432"/>
      <c r="F16" s="137"/>
      <c r="G16" s="137"/>
      <c r="H16" s="121"/>
      <c r="I16" s="506"/>
      <c r="J16" s="432"/>
      <c r="K16" s="137"/>
      <c r="L16" s="137"/>
      <c r="M16" s="137"/>
      <c r="N16" s="358"/>
      <c r="O16" s="432"/>
      <c r="P16" s="137"/>
      <c r="Q16" s="137"/>
      <c r="R16" s="137"/>
      <c r="S16" s="358"/>
    </row>
    <row r="17" spans="2:19" ht="12.75">
      <c r="B17" s="125" t="s">
        <v>1571</v>
      </c>
      <c r="C17" s="122" t="s">
        <v>1576</v>
      </c>
      <c r="D17" s="484" t="s">
        <v>1579</v>
      </c>
      <c r="E17" s="432"/>
      <c r="F17" s="137"/>
      <c r="G17" s="137"/>
      <c r="H17" s="121"/>
      <c r="I17" s="506"/>
      <c r="J17" s="432"/>
      <c r="K17" s="137"/>
      <c r="L17" s="137"/>
      <c r="M17" s="137"/>
      <c r="N17" s="358"/>
      <c r="O17" s="432"/>
      <c r="P17" s="137"/>
      <c r="Q17" s="137"/>
      <c r="R17" s="137"/>
      <c r="S17" s="358"/>
    </row>
    <row r="18" spans="2:19" ht="12.75">
      <c r="B18" s="125" t="s">
        <v>1580</v>
      </c>
      <c r="C18" s="122" t="s">
        <v>1607</v>
      </c>
      <c r="D18" s="484" t="s">
        <v>1498</v>
      </c>
      <c r="E18" s="432"/>
      <c r="F18" s="137"/>
      <c r="G18" s="137"/>
      <c r="H18" s="121"/>
      <c r="I18" s="506"/>
      <c r="J18" s="432"/>
      <c r="K18" s="137"/>
      <c r="L18" s="137"/>
      <c r="M18" s="137"/>
      <c r="N18" s="358"/>
      <c r="O18" s="432"/>
      <c r="P18" s="137"/>
      <c r="Q18" s="137"/>
      <c r="R18" s="137"/>
      <c r="S18" s="358"/>
    </row>
    <row r="19" spans="2:19" ht="25.5">
      <c r="B19" s="125" t="s">
        <v>1455</v>
      </c>
      <c r="C19" s="122" t="s">
        <v>1608</v>
      </c>
      <c r="D19" s="484"/>
      <c r="E19" s="432"/>
      <c r="F19" s="137"/>
      <c r="G19" s="137"/>
      <c r="H19" s="121"/>
      <c r="I19" s="506"/>
      <c r="J19" s="432"/>
      <c r="K19" s="137"/>
      <c r="L19" s="137"/>
      <c r="M19" s="137"/>
      <c r="N19" s="358"/>
      <c r="O19" s="432"/>
      <c r="P19" s="137"/>
      <c r="Q19" s="137"/>
      <c r="R19" s="137"/>
      <c r="S19" s="358"/>
    </row>
    <row r="20" spans="2:19" ht="25.5">
      <c r="B20" s="125" t="s">
        <v>1568</v>
      </c>
      <c r="C20" s="122" t="s">
        <v>1569</v>
      </c>
      <c r="D20" s="484" t="s">
        <v>1605</v>
      </c>
      <c r="E20" s="432"/>
      <c r="F20" s="137"/>
      <c r="G20" s="137"/>
      <c r="H20" s="121"/>
      <c r="I20" s="506"/>
      <c r="J20" s="432"/>
      <c r="K20" s="137"/>
      <c r="L20" s="137"/>
      <c r="M20" s="137"/>
      <c r="N20" s="358"/>
      <c r="O20" s="432"/>
      <c r="P20" s="137"/>
      <c r="Q20" s="137"/>
      <c r="R20" s="137"/>
      <c r="S20" s="358"/>
    </row>
    <row r="21" spans="2:19" ht="12.75">
      <c r="B21" s="125" t="s">
        <v>1571</v>
      </c>
      <c r="C21" s="122" t="s">
        <v>1576</v>
      </c>
      <c r="D21" s="484" t="s">
        <v>1577</v>
      </c>
      <c r="E21" s="432"/>
      <c r="F21" s="137"/>
      <c r="G21" s="137"/>
      <c r="H21" s="121"/>
      <c r="I21" s="506"/>
      <c r="J21" s="432"/>
      <c r="K21" s="137"/>
      <c r="L21" s="137"/>
      <c r="M21" s="137"/>
      <c r="N21" s="358"/>
      <c r="O21" s="432"/>
      <c r="P21" s="137"/>
      <c r="Q21" s="137"/>
      <c r="R21" s="137"/>
      <c r="S21" s="358"/>
    </row>
    <row r="22" spans="2:19" ht="25.5">
      <c r="B22" s="125" t="s">
        <v>1581</v>
      </c>
      <c r="C22" s="122" t="s">
        <v>1608</v>
      </c>
      <c r="D22" s="484"/>
      <c r="E22" s="432"/>
      <c r="F22" s="137"/>
      <c r="G22" s="137"/>
      <c r="H22" s="121"/>
      <c r="I22" s="506"/>
      <c r="J22" s="432"/>
      <c r="K22" s="137"/>
      <c r="L22" s="137"/>
      <c r="M22" s="137"/>
      <c r="N22" s="358"/>
      <c r="O22" s="432"/>
      <c r="P22" s="137"/>
      <c r="Q22" s="137"/>
      <c r="R22" s="137"/>
      <c r="S22" s="358"/>
    </row>
    <row r="23" spans="2:19" ht="25.5">
      <c r="B23" s="125" t="s">
        <v>1568</v>
      </c>
      <c r="C23" s="122" t="s">
        <v>1569</v>
      </c>
      <c r="D23" s="484" t="s">
        <v>1605</v>
      </c>
      <c r="E23" s="432"/>
      <c r="F23" s="137"/>
      <c r="G23" s="137"/>
      <c r="H23" s="121"/>
      <c r="I23" s="506"/>
      <c r="J23" s="432"/>
      <c r="K23" s="137"/>
      <c r="L23" s="137"/>
      <c r="M23" s="137"/>
      <c r="N23" s="358"/>
      <c r="O23" s="432"/>
      <c r="P23" s="137"/>
      <c r="Q23" s="137"/>
      <c r="R23" s="137"/>
      <c r="S23" s="358"/>
    </row>
    <row r="24" spans="2:19" ht="12.75">
      <c r="B24" s="125" t="s">
        <v>1571</v>
      </c>
      <c r="C24" s="122" t="s">
        <v>1576</v>
      </c>
      <c r="D24" s="484" t="s">
        <v>1577</v>
      </c>
      <c r="E24" s="432"/>
      <c r="F24" s="137"/>
      <c r="G24" s="137"/>
      <c r="H24" s="121"/>
      <c r="I24" s="506"/>
      <c r="J24" s="589"/>
      <c r="K24" s="137"/>
      <c r="L24" s="137"/>
      <c r="M24" s="137"/>
      <c r="N24" s="358"/>
      <c r="O24" s="432"/>
      <c r="P24" s="137"/>
      <c r="Q24" s="137"/>
      <c r="R24" s="137"/>
      <c r="S24" s="358"/>
    </row>
    <row r="25" spans="2:19" ht="12.75">
      <c r="B25" s="125" t="s">
        <v>1582</v>
      </c>
      <c r="C25" s="122" t="s">
        <v>1583</v>
      </c>
      <c r="D25" s="484"/>
      <c r="E25" s="432"/>
      <c r="F25" s="137"/>
      <c r="G25" s="137"/>
      <c r="H25" s="121"/>
      <c r="I25" s="506"/>
      <c r="J25" s="589"/>
      <c r="K25" s="137"/>
      <c r="L25" s="137"/>
      <c r="M25" s="137"/>
      <c r="N25" s="358"/>
      <c r="O25" s="432"/>
      <c r="P25" s="137"/>
      <c r="Q25" s="137"/>
      <c r="R25" s="137"/>
      <c r="S25" s="358"/>
    </row>
    <row r="26" spans="2:19" ht="26.25" customHeight="1">
      <c r="B26" s="125" t="s">
        <v>1584</v>
      </c>
      <c r="C26" s="122" t="s">
        <v>1609</v>
      </c>
      <c r="D26" s="484" t="s">
        <v>1498</v>
      </c>
      <c r="E26" s="432"/>
      <c r="F26" s="137"/>
      <c r="G26" s="137"/>
      <c r="H26" s="137"/>
      <c r="I26" s="537"/>
      <c r="J26" s="589"/>
      <c r="K26" s="137"/>
      <c r="L26" s="137"/>
      <c r="M26" s="137"/>
      <c r="N26" s="537"/>
      <c r="O26" s="432"/>
      <c r="P26" s="137"/>
      <c r="Q26" s="137"/>
      <c r="R26" s="137"/>
      <c r="S26" s="358"/>
    </row>
    <row r="27" spans="2:19" ht="25.5">
      <c r="B27" s="125" t="s">
        <v>1585</v>
      </c>
      <c r="C27" s="122" t="s">
        <v>115</v>
      </c>
      <c r="D27" s="484" t="s">
        <v>1498</v>
      </c>
      <c r="E27" s="432"/>
      <c r="F27" s="137"/>
      <c r="G27" s="137"/>
      <c r="H27" s="121"/>
      <c r="I27" s="506"/>
      <c r="J27" s="589"/>
      <c r="K27" s="137"/>
      <c r="L27" s="137"/>
      <c r="M27" s="137"/>
      <c r="N27" s="537"/>
      <c r="O27" s="432"/>
      <c r="P27" s="137"/>
      <c r="Q27" s="137"/>
      <c r="R27" s="121"/>
      <c r="S27" s="358"/>
    </row>
    <row r="28" spans="2:45" ht="25.5">
      <c r="B28" s="125" t="s">
        <v>1568</v>
      </c>
      <c r="C28" s="122" t="s">
        <v>1569</v>
      </c>
      <c r="D28" s="484" t="s">
        <v>117</v>
      </c>
      <c r="E28" s="538"/>
      <c r="F28" s="137"/>
      <c r="G28" s="137"/>
      <c r="H28" s="121"/>
      <c r="I28" s="506"/>
      <c r="J28" s="589"/>
      <c r="K28" s="137"/>
      <c r="L28" s="137"/>
      <c r="M28" s="137"/>
      <c r="N28" s="545"/>
      <c r="O28" s="538"/>
      <c r="P28" s="137"/>
      <c r="Q28" s="137"/>
      <c r="R28" s="121"/>
      <c r="S28" s="506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</row>
    <row r="29" spans="2:45" ht="12.75">
      <c r="B29" s="125" t="s">
        <v>1571</v>
      </c>
      <c r="C29" s="122" t="s">
        <v>1586</v>
      </c>
      <c r="D29" s="484" t="s">
        <v>1587</v>
      </c>
      <c r="E29" s="432"/>
      <c r="F29" s="137"/>
      <c r="G29" s="137"/>
      <c r="H29" s="137"/>
      <c r="I29" s="358"/>
      <c r="J29" s="432"/>
      <c r="K29" s="137"/>
      <c r="L29" s="137"/>
      <c r="M29" s="137"/>
      <c r="N29" s="545"/>
      <c r="O29" s="432"/>
      <c r="P29" s="137"/>
      <c r="Q29" s="137"/>
      <c r="R29" s="137"/>
      <c r="S29" s="358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</row>
    <row r="30" spans="1:63" s="239" customFormat="1" ht="25.5">
      <c r="A30" s="124"/>
      <c r="B30" s="125"/>
      <c r="C30" s="122" t="s">
        <v>1546</v>
      </c>
      <c r="D30" s="484"/>
      <c r="E30" s="432"/>
      <c r="F30" s="137"/>
      <c r="G30" s="137"/>
      <c r="H30" s="137"/>
      <c r="I30" s="358"/>
      <c r="J30" s="546"/>
      <c r="K30" s="486"/>
      <c r="L30" s="486"/>
      <c r="M30" s="486"/>
      <c r="N30" s="547"/>
      <c r="O30" s="432"/>
      <c r="P30" s="137"/>
      <c r="Q30" s="137"/>
      <c r="R30" s="137"/>
      <c r="S30" s="358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</row>
    <row r="31" spans="2:63" ht="20.25" customHeight="1">
      <c r="B31" s="125" t="s">
        <v>1588</v>
      </c>
      <c r="C31" s="122" t="s">
        <v>1583</v>
      </c>
      <c r="D31" s="484" t="s">
        <v>1498</v>
      </c>
      <c r="E31" s="432"/>
      <c r="F31" s="137"/>
      <c r="G31" s="137"/>
      <c r="H31" s="137"/>
      <c r="I31" s="358"/>
      <c r="J31" s="432"/>
      <c r="K31" s="137"/>
      <c r="L31" s="137"/>
      <c r="M31" s="137"/>
      <c r="N31" s="537"/>
      <c r="O31" s="432"/>
      <c r="P31" s="137"/>
      <c r="Q31" s="137"/>
      <c r="R31" s="137"/>
      <c r="S31" s="358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</row>
    <row r="32" spans="2:63" ht="25.5">
      <c r="B32" s="125"/>
      <c r="C32" s="122" t="s">
        <v>1547</v>
      </c>
      <c r="D32" s="484"/>
      <c r="E32" s="432"/>
      <c r="F32" s="137"/>
      <c r="G32" s="137"/>
      <c r="H32" s="137"/>
      <c r="I32" s="358"/>
      <c r="J32" s="432"/>
      <c r="K32" s="137"/>
      <c r="L32" s="137"/>
      <c r="M32" s="137"/>
      <c r="N32" s="547"/>
      <c r="O32" s="432"/>
      <c r="P32" s="137"/>
      <c r="Q32" s="137"/>
      <c r="R32" s="137"/>
      <c r="S32" s="358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</row>
    <row r="33" spans="2:19" ht="18.75" customHeight="1">
      <c r="B33" s="173" t="s">
        <v>1589</v>
      </c>
      <c r="C33" s="174" t="s">
        <v>1590</v>
      </c>
      <c r="D33" s="526" t="s">
        <v>1498</v>
      </c>
      <c r="E33" s="539"/>
      <c r="F33" s="197"/>
      <c r="G33" s="196"/>
      <c r="H33" s="196"/>
      <c r="I33" s="537"/>
      <c r="J33" s="548"/>
      <c r="K33" s="196"/>
      <c r="L33" s="196">
        <f>L34</f>
        <v>1.3301862</v>
      </c>
      <c r="M33" s="196">
        <f>M38</f>
        <v>0.024</v>
      </c>
      <c r="N33" s="537">
        <f>SUM(J33:M33)</f>
        <v>1.3541862</v>
      </c>
      <c r="O33" s="548"/>
      <c r="P33" s="197"/>
      <c r="Q33" s="196">
        <f>Q34</f>
        <v>1.3277808000000002</v>
      </c>
      <c r="R33" s="196">
        <f>R38</f>
        <v>0.02172</v>
      </c>
      <c r="S33" s="537">
        <f>SUM(O33:R33)</f>
        <v>1.3495008000000002</v>
      </c>
    </row>
    <row r="34" spans="2:19" ht="25.5" customHeight="1">
      <c r="B34" s="125" t="s">
        <v>1591</v>
      </c>
      <c r="C34" s="122" t="s">
        <v>118</v>
      </c>
      <c r="D34" s="484" t="s">
        <v>1498</v>
      </c>
      <c r="E34" s="432"/>
      <c r="F34" s="137"/>
      <c r="G34" s="137"/>
      <c r="H34" s="137"/>
      <c r="I34" s="358"/>
      <c r="J34" s="432"/>
      <c r="K34" s="137"/>
      <c r="L34" s="137">
        <f>L35*L36*L37/100</f>
        <v>1.3301862</v>
      </c>
      <c r="M34" s="137"/>
      <c r="N34" s="884"/>
      <c r="O34" s="432"/>
      <c r="P34" s="137"/>
      <c r="Q34" s="137">
        <f>Q35*Q36*Q37/100</f>
        <v>1.3277808000000002</v>
      </c>
      <c r="R34" s="137"/>
      <c r="S34" s="358"/>
    </row>
    <row r="35" spans="2:19" ht="12.75">
      <c r="B35" s="125" t="s">
        <v>1568</v>
      </c>
      <c r="C35" s="122" t="s">
        <v>1569</v>
      </c>
      <c r="D35" s="484" t="s">
        <v>1592</v>
      </c>
      <c r="E35" s="432"/>
      <c r="F35" s="137"/>
      <c r="G35" s="137"/>
      <c r="H35" s="137"/>
      <c r="I35" s="358"/>
      <c r="J35" s="432"/>
      <c r="K35" s="137"/>
      <c r="L35" s="137">
        <v>6.33</v>
      </c>
      <c r="M35" s="137"/>
      <c r="N35" s="884"/>
      <c r="O35" s="432"/>
      <c r="P35" s="137"/>
      <c r="Q35" s="137">
        <v>6.33</v>
      </c>
      <c r="R35" s="137"/>
      <c r="S35" s="358"/>
    </row>
    <row r="36" spans="2:19" ht="12.75">
      <c r="B36" s="125" t="s">
        <v>1571</v>
      </c>
      <c r="C36" s="122" t="s">
        <v>1593</v>
      </c>
      <c r="D36" s="484"/>
      <c r="E36" s="432"/>
      <c r="F36" s="137"/>
      <c r="G36" s="137"/>
      <c r="H36" s="137"/>
      <c r="I36" s="358"/>
      <c r="J36" s="432"/>
      <c r="K36" s="137"/>
      <c r="L36" s="137">
        <v>0.76</v>
      </c>
      <c r="M36" s="137"/>
      <c r="N36" s="884"/>
      <c r="O36" s="432"/>
      <c r="P36" s="137"/>
      <c r="Q36" s="137">
        <v>0.76</v>
      </c>
      <c r="R36" s="137"/>
      <c r="S36" s="358"/>
    </row>
    <row r="37" spans="2:19" ht="12.75">
      <c r="B37" s="125" t="s">
        <v>1573</v>
      </c>
      <c r="C37" s="122" t="s">
        <v>119</v>
      </c>
      <c r="D37" s="484" t="s">
        <v>1498</v>
      </c>
      <c r="E37" s="540"/>
      <c r="F37" s="231"/>
      <c r="G37" s="231"/>
      <c r="H37" s="137"/>
      <c r="I37" s="358"/>
      <c r="J37" s="540"/>
      <c r="K37" s="231"/>
      <c r="L37" s="191">
        <f>L51</f>
        <v>27.65</v>
      </c>
      <c r="M37" s="137"/>
      <c r="N37" s="884"/>
      <c r="O37" s="533"/>
      <c r="P37" s="191"/>
      <c r="Q37" s="191">
        <f>Q51</f>
        <v>27.6</v>
      </c>
      <c r="R37" s="137"/>
      <c r="S37" s="358"/>
    </row>
    <row r="38" spans="2:19" ht="12.75">
      <c r="B38" s="125" t="s">
        <v>1595</v>
      </c>
      <c r="C38" s="122" t="s">
        <v>120</v>
      </c>
      <c r="D38" s="484" t="s">
        <v>1498</v>
      </c>
      <c r="E38" s="432"/>
      <c r="F38" s="137"/>
      <c r="G38" s="137"/>
      <c r="H38" s="137"/>
      <c r="I38" s="358"/>
      <c r="J38" s="432"/>
      <c r="K38" s="137"/>
      <c r="L38" s="137"/>
      <c r="M38" s="138">
        <f>M39*M40/1000</f>
        <v>0.024</v>
      </c>
      <c r="N38" s="884"/>
      <c r="O38" s="432"/>
      <c r="P38" s="137"/>
      <c r="Q38" s="137"/>
      <c r="R38" s="138">
        <f>R39*R40/1000</f>
        <v>0.02172</v>
      </c>
      <c r="S38" s="358"/>
    </row>
    <row r="39" spans="2:19" ht="25.5">
      <c r="B39" s="125" t="s">
        <v>1568</v>
      </c>
      <c r="C39" s="122" t="s">
        <v>1569</v>
      </c>
      <c r="D39" s="484" t="s">
        <v>121</v>
      </c>
      <c r="E39" s="432"/>
      <c r="F39" s="137"/>
      <c r="G39" s="137"/>
      <c r="H39" s="137"/>
      <c r="I39" s="358"/>
      <c r="J39" s="432"/>
      <c r="K39" s="137"/>
      <c r="L39" s="137"/>
      <c r="M39" s="137">
        <v>6</v>
      </c>
      <c r="N39" s="884"/>
      <c r="O39" s="432"/>
      <c r="P39" s="137"/>
      <c r="Q39" s="137"/>
      <c r="R39" s="132">
        <v>6</v>
      </c>
      <c r="S39" s="358"/>
    </row>
    <row r="40" spans="2:19" ht="12.75">
      <c r="B40" s="125" t="s">
        <v>1571</v>
      </c>
      <c r="C40" s="122" t="s">
        <v>122</v>
      </c>
      <c r="D40" s="484" t="s">
        <v>1587</v>
      </c>
      <c r="E40" s="432"/>
      <c r="F40" s="137"/>
      <c r="G40" s="137"/>
      <c r="H40" s="137"/>
      <c r="I40" s="358"/>
      <c r="J40" s="432"/>
      <c r="K40" s="137"/>
      <c r="L40" s="137"/>
      <c r="M40" s="137">
        <v>4</v>
      </c>
      <c r="N40" s="884"/>
      <c r="O40" s="432"/>
      <c r="P40" s="137"/>
      <c r="Q40" s="137"/>
      <c r="R40" s="132">
        <f>'П2.1'!H49</f>
        <v>3.62</v>
      </c>
      <c r="S40" s="358"/>
    </row>
    <row r="41" spans="2:19" ht="25.5">
      <c r="B41" s="125" t="s">
        <v>1597</v>
      </c>
      <c r="C41" s="148" t="s">
        <v>123</v>
      </c>
      <c r="D41" s="484" t="s">
        <v>1498</v>
      </c>
      <c r="E41" s="432"/>
      <c r="F41" s="137"/>
      <c r="G41" s="137"/>
      <c r="H41" s="138"/>
      <c r="I41" s="532"/>
      <c r="J41" s="432"/>
      <c r="K41" s="137"/>
      <c r="L41" s="137"/>
      <c r="M41" s="138"/>
      <c r="N41" s="537">
        <f>SUM(J41:M41)</f>
        <v>0</v>
      </c>
      <c r="O41" s="432"/>
      <c r="P41" s="137"/>
      <c r="Q41" s="138"/>
      <c r="R41" s="138"/>
      <c r="S41" s="426"/>
    </row>
    <row r="42" spans="2:19" ht="25.5">
      <c r="B42" s="125" t="s">
        <v>1598</v>
      </c>
      <c r="C42" s="122" t="s">
        <v>1464</v>
      </c>
      <c r="D42" s="484" t="s">
        <v>1498</v>
      </c>
      <c r="E42" s="431"/>
      <c r="F42" s="123"/>
      <c r="G42" s="123"/>
      <c r="H42" s="138"/>
      <c r="I42" s="532"/>
      <c r="J42" s="431"/>
      <c r="K42" s="123"/>
      <c r="L42" s="123">
        <v>0.348</v>
      </c>
      <c r="M42" s="123"/>
      <c r="N42" s="537">
        <f>SUM(J42:M42)</f>
        <v>0.348</v>
      </c>
      <c r="O42" s="431"/>
      <c r="P42" s="123"/>
      <c r="Q42" s="123"/>
      <c r="R42" s="138"/>
      <c r="S42" s="426"/>
    </row>
    <row r="43" spans="2:20" ht="16.5" thickBot="1">
      <c r="B43" s="188" t="s">
        <v>1599</v>
      </c>
      <c r="C43" s="189" t="s">
        <v>1600</v>
      </c>
      <c r="D43" s="527" t="s">
        <v>1498</v>
      </c>
      <c r="E43" s="584"/>
      <c r="F43" s="585"/>
      <c r="G43" s="585"/>
      <c r="H43" s="585"/>
      <c r="I43" s="586"/>
      <c r="J43" s="584"/>
      <c r="K43" s="585"/>
      <c r="L43" s="885">
        <f>L7+L41+L42</f>
        <v>2.014233816</v>
      </c>
      <c r="M43" s="885">
        <f>M7+M41+M42</f>
        <v>0.024</v>
      </c>
      <c r="N43" s="886">
        <f>SUM(J43:M43)</f>
        <v>2.038233816</v>
      </c>
      <c r="O43" s="887"/>
      <c r="P43" s="885"/>
      <c r="Q43" s="885">
        <f>Q7+Q41+Q42</f>
        <v>1.5175356871680001</v>
      </c>
      <c r="R43" s="885">
        <f>R7+R41+R42</f>
        <v>0.02172</v>
      </c>
      <c r="S43" s="888">
        <f>SUM(O43:R43)</f>
        <v>1.539255687168</v>
      </c>
      <c r="T43" s="150"/>
    </row>
    <row r="44" spans="2:20" ht="27.75" customHeight="1">
      <c r="B44" s="145"/>
      <c r="C44" s="147"/>
      <c r="D44" s="145"/>
      <c r="E44" s="408"/>
      <c r="F44" s="408"/>
      <c r="G44" s="408"/>
      <c r="H44" s="407"/>
      <c r="I44" s="407"/>
      <c r="J44" s="146"/>
      <c r="K44" s="146"/>
      <c r="L44" s="146"/>
      <c r="M44" s="146"/>
      <c r="N44" s="146"/>
      <c r="O44" s="247"/>
      <c r="P44" s="248"/>
      <c r="Q44" s="248"/>
      <c r="R44" s="146"/>
      <c r="S44" s="249"/>
      <c r="T44" s="15"/>
    </row>
    <row r="45" spans="2:20" ht="13.5" thickBot="1">
      <c r="B45" s="142"/>
      <c r="C45" s="147"/>
      <c r="D45" s="711"/>
      <c r="E45" s="711"/>
      <c r="F45" s="711"/>
      <c r="G45" s="711"/>
      <c r="H45" s="237"/>
      <c r="I45" s="711"/>
      <c r="J45" s="711"/>
      <c r="K45" s="711"/>
      <c r="L45" s="711"/>
      <c r="M45" s="124"/>
      <c r="N45" s="711"/>
      <c r="O45" s="711"/>
      <c r="P45" s="711"/>
      <c r="Q45" s="711">
        <f>Q64+R55+Q59</f>
        <v>27.6</v>
      </c>
      <c r="R45" s="124"/>
      <c r="S45" s="15"/>
      <c r="T45" s="15"/>
    </row>
    <row r="46" spans="1:18" ht="15">
      <c r="A46" s="169"/>
      <c r="B46" s="1768" t="s">
        <v>1385</v>
      </c>
      <c r="C46" s="1795"/>
      <c r="D46" s="1795"/>
      <c r="E46" s="1795"/>
      <c r="F46" s="1795"/>
      <c r="G46" s="1832"/>
      <c r="H46" s="1794" t="s">
        <v>1498</v>
      </c>
      <c r="I46" s="1795"/>
      <c r="J46" s="1795"/>
      <c r="K46" s="1796"/>
      <c r="L46" s="1790" t="s">
        <v>1169</v>
      </c>
      <c r="M46" s="1791"/>
      <c r="N46" s="175"/>
      <c r="O46" s="175"/>
      <c r="P46" s="175"/>
      <c r="Q46" s="370"/>
      <c r="R46" s="175"/>
    </row>
    <row r="47" spans="1:23" ht="18.75" thickBot="1">
      <c r="A47" s="169"/>
      <c r="B47" s="1833"/>
      <c r="C47" s="1834"/>
      <c r="D47" s="1834"/>
      <c r="E47" s="1834"/>
      <c r="F47" s="1834"/>
      <c r="G47" s="1835"/>
      <c r="H47" s="1797"/>
      <c r="I47" s="1798"/>
      <c r="J47" s="1798"/>
      <c r="K47" s="1799"/>
      <c r="L47" s="1792"/>
      <c r="M47" s="1793"/>
      <c r="N47" s="277"/>
      <c r="O47" s="278"/>
      <c r="P47" s="277"/>
      <c r="Q47" s="1854" t="s">
        <v>2528</v>
      </c>
      <c r="R47" s="1855"/>
      <c r="S47" s="277"/>
      <c r="T47" s="278"/>
      <c r="U47" s="277"/>
      <c r="V47" s="1854" t="s">
        <v>2528</v>
      </c>
      <c r="W47" s="1855"/>
    </row>
    <row r="48" spans="1:23" ht="15" customHeight="1" thickBot="1">
      <c r="A48" s="169"/>
      <c r="B48" s="1768" t="s">
        <v>1381</v>
      </c>
      <c r="C48" s="1770" t="s">
        <v>1558</v>
      </c>
      <c r="D48" s="1772" t="s">
        <v>1266</v>
      </c>
      <c r="E48" s="1773"/>
      <c r="F48" s="1773"/>
      <c r="G48" s="1773"/>
      <c r="H48" s="1774"/>
      <c r="I48" s="1775" t="s">
        <v>703</v>
      </c>
      <c r="J48" s="1776"/>
      <c r="K48" s="1776"/>
      <c r="L48" s="1776"/>
      <c r="M48" s="1777"/>
      <c r="N48" s="1805" t="s">
        <v>1350</v>
      </c>
      <c r="O48" s="1806"/>
      <c r="P48" s="1806"/>
      <c r="Q48" s="1806"/>
      <c r="R48" s="1807"/>
      <c r="S48" s="1856">
        <v>2012</v>
      </c>
      <c r="T48" s="1857"/>
      <c r="U48" s="1857"/>
      <c r="V48" s="1857"/>
      <c r="W48" s="1858"/>
    </row>
    <row r="49" spans="1:23" ht="15">
      <c r="A49" s="169"/>
      <c r="B49" s="1769"/>
      <c r="C49" s="1771"/>
      <c r="D49" s="742" t="s">
        <v>1564</v>
      </c>
      <c r="E49" s="177" t="s">
        <v>1560</v>
      </c>
      <c r="F49" s="177" t="s">
        <v>1561</v>
      </c>
      <c r="G49" s="177" t="s">
        <v>1562</v>
      </c>
      <c r="H49" s="178" t="s">
        <v>1563</v>
      </c>
      <c r="I49" s="179" t="s">
        <v>1564</v>
      </c>
      <c r="J49" s="177" t="s">
        <v>1560</v>
      </c>
      <c r="K49" s="177" t="s">
        <v>1561</v>
      </c>
      <c r="L49" s="177" t="s">
        <v>1562</v>
      </c>
      <c r="M49" s="275" t="s">
        <v>1563</v>
      </c>
      <c r="N49" s="414" t="s">
        <v>1564</v>
      </c>
      <c r="O49" s="415" t="s">
        <v>1560</v>
      </c>
      <c r="P49" s="415" t="s">
        <v>1561</v>
      </c>
      <c r="Q49" s="415" t="s">
        <v>1562</v>
      </c>
      <c r="R49" s="416" t="s">
        <v>1563</v>
      </c>
      <c r="S49" s="414" t="s">
        <v>1564</v>
      </c>
      <c r="T49" s="415" t="s">
        <v>1560</v>
      </c>
      <c r="U49" s="415" t="s">
        <v>1561</v>
      </c>
      <c r="V49" s="415" t="s">
        <v>1562</v>
      </c>
      <c r="W49" s="416" t="s">
        <v>1563</v>
      </c>
    </row>
    <row r="50" spans="1:23" ht="15">
      <c r="A50" s="169"/>
      <c r="B50" s="176">
        <v>1</v>
      </c>
      <c r="C50" s="743">
        <v>2</v>
      </c>
      <c r="D50" s="742">
        <v>3</v>
      </c>
      <c r="E50" s="177">
        <v>4</v>
      </c>
      <c r="F50" s="177">
        <v>5</v>
      </c>
      <c r="G50" s="177">
        <v>6</v>
      </c>
      <c r="H50" s="178">
        <v>7</v>
      </c>
      <c r="I50" s="179">
        <v>8</v>
      </c>
      <c r="J50" s="177">
        <v>9</v>
      </c>
      <c r="K50" s="177">
        <v>10</v>
      </c>
      <c r="L50" s="177">
        <v>11</v>
      </c>
      <c r="M50" s="275">
        <v>12</v>
      </c>
      <c r="N50" s="180">
        <v>13</v>
      </c>
      <c r="O50" s="417">
        <v>14</v>
      </c>
      <c r="P50" s="181">
        <v>15</v>
      </c>
      <c r="Q50" s="182">
        <v>16</v>
      </c>
      <c r="R50" s="183">
        <v>17</v>
      </c>
      <c r="S50" s="180">
        <v>13</v>
      </c>
      <c r="T50" s="417">
        <v>14</v>
      </c>
      <c r="U50" s="181">
        <v>15</v>
      </c>
      <c r="V50" s="182">
        <v>16</v>
      </c>
      <c r="W50" s="183">
        <v>17</v>
      </c>
    </row>
    <row r="51" spans="1:23" ht="18">
      <c r="A51" s="169"/>
      <c r="B51" s="176" t="s">
        <v>124</v>
      </c>
      <c r="C51" s="743" t="s">
        <v>137</v>
      </c>
      <c r="D51" s="962">
        <v>24.92</v>
      </c>
      <c r="E51" s="456"/>
      <c r="F51" s="456"/>
      <c r="G51" s="456">
        <v>24.92</v>
      </c>
      <c r="H51" s="507">
        <v>0.329</v>
      </c>
      <c r="I51" s="457">
        <v>27.6</v>
      </c>
      <c r="J51" s="456"/>
      <c r="K51" s="456"/>
      <c r="L51" s="456">
        <v>27.65</v>
      </c>
      <c r="M51" s="1092">
        <f>L58-L59-L64</f>
        <v>1.7282800000000016</v>
      </c>
      <c r="N51" s="787">
        <v>27.6</v>
      </c>
      <c r="O51" s="456"/>
      <c r="P51" s="456"/>
      <c r="Q51" s="456">
        <f>N58</f>
        <v>27.6</v>
      </c>
      <c r="R51" s="507">
        <f>R64+R59</f>
        <v>2.00172</v>
      </c>
      <c r="S51" s="787"/>
      <c r="T51" s="456"/>
      <c r="U51" s="456"/>
      <c r="V51" s="456"/>
      <c r="W51" s="507"/>
    </row>
    <row r="52" spans="1:23" ht="30">
      <c r="A52" s="169"/>
      <c r="B52" s="176" t="s">
        <v>125</v>
      </c>
      <c r="C52" s="743" t="s">
        <v>138</v>
      </c>
      <c r="D52" s="714"/>
      <c r="E52" s="713"/>
      <c r="F52" s="713"/>
      <c r="G52" s="713"/>
      <c r="H52" s="736">
        <v>0.329</v>
      </c>
      <c r="I52" s="712"/>
      <c r="J52" s="713"/>
      <c r="K52" s="713"/>
      <c r="L52" s="713"/>
      <c r="M52" s="734"/>
      <c r="N52" s="712"/>
      <c r="O52" s="713"/>
      <c r="P52" s="713"/>
      <c r="Q52" s="713"/>
      <c r="R52" s="715">
        <f>R51-(R56+R57+R58)</f>
        <v>2.00172</v>
      </c>
      <c r="S52" s="712"/>
      <c r="T52" s="713"/>
      <c r="U52" s="713"/>
      <c r="V52" s="713"/>
      <c r="W52" s="715"/>
    </row>
    <row r="53" spans="1:23" ht="15">
      <c r="A53" s="169"/>
      <c r="B53" s="176"/>
      <c r="C53" s="743" t="s">
        <v>126</v>
      </c>
      <c r="D53" s="124"/>
      <c r="E53" s="713"/>
      <c r="F53" s="713"/>
      <c r="G53" s="713"/>
      <c r="H53" s="715"/>
      <c r="I53" s="124"/>
      <c r="J53" s="713"/>
      <c r="K53" s="713"/>
      <c r="L53" s="713"/>
      <c r="M53" s="734"/>
      <c r="N53" s="712"/>
      <c r="O53" s="714"/>
      <c r="P53" s="713"/>
      <c r="Q53" s="713"/>
      <c r="R53" s="715"/>
      <c r="S53" s="712"/>
      <c r="T53" s="714"/>
      <c r="U53" s="713"/>
      <c r="V53" s="713"/>
      <c r="W53" s="715"/>
    </row>
    <row r="54" spans="1:23" ht="15">
      <c r="A54" s="169"/>
      <c r="B54" s="176"/>
      <c r="C54" s="743" t="s">
        <v>127</v>
      </c>
      <c r="D54" s="714"/>
      <c r="E54" s="714"/>
      <c r="F54" s="713"/>
      <c r="G54" s="736"/>
      <c r="H54" s="716"/>
      <c r="I54" s="712"/>
      <c r="J54" s="714"/>
      <c r="K54" s="713"/>
      <c r="L54" s="736"/>
      <c r="M54" s="779"/>
      <c r="N54" s="712"/>
      <c r="O54" s="714"/>
      <c r="P54" s="713"/>
      <c r="Q54" s="713"/>
      <c r="R54" s="716"/>
      <c r="S54" s="712"/>
      <c r="T54" s="714"/>
      <c r="U54" s="713"/>
      <c r="V54" s="713"/>
      <c r="W54" s="716"/>
    </row>
    <row r="55" spans="1:23" ht="15">
      <c r="A55" s="169"/>
      <c r="B55" s="176"/>
      <c r="C55" s="743" t="s">
        <v>1594</v>
      </c>
      <c r="D55" s="714"/>
      <c r="E55" s="714"/>
      <c r="F55" s="713"/>
      <c r="G55" s="713"/>
      <c r="H55" s="715">
        <v>0.329</v>
      </c>
      <c r="I55" s="712"/>
      <c r="J55" s="714"/>
      <c r="K55" s="713"/>
      <c r="L55" s="713"/>
      <c r="M55" s="734"/>
      <c r="N55" s="712"/>
      <c r="O55" s="714"/>
      <c r="P55" s="713"/>
      <c r="Q55" s="713"/>
      <c r="R55" s="715">
        <f>R52</f>
        <v>2.00172</v>
      </c>
      <c r="S55" s="712"/>
      <c r="T55" s="714"/>
      <c r="U55" s="713"/>
      <c r="V55" s="713"/>
      <c r="W55" s="715"/>
    </row>
    <row r="56" spans="1:23" ht="15">
      <c r="A56" s="169"/>
      <c r="B56" s="890" t="s">
        <v>128</v>
      </c>
      <c r="C56" s="891" t="s">
        <v>139</v>
      </c>
      <c r="D56" s="724"/>
      <c r="E56" s="724"/>
      <c r="F56" s="774"/>
      <c r="G56" s="774"/>
      <c r="H56" s="892"/>
      <c r="I56" s="893"/>
      <c r="J56" s="724"/>
      <c r="K56" s="774"/>
      <c r="L56" s="774"/>
      <c r="M56" s="894"/>
      <c r="N56" s="889"/>
      <c r="O56" s="724"/>
      <c r="P56" s="774"/>
      <c r="Q56" s="774"/>
      <c r="R56" s="892"/>
      <c r="S56" s="889"/>
      <c r="T56" s="724"/>
      <c r="U56" s="774"/>
      <c r="V56" s="774"/>
      <c r="W56" s="892"/>
    </row>
    <row r="57" spans="1:23" ht="30">
      <c r="A57" s="169"/>
      <c r="B57" s="890" t="s">
        <v>129</v>
      </c>
      <c r="C57" s="895" t="s">
        <v>140</v>
      </c>
      <c r="D57" s="896"/>
      <c r="E57" s="896"/>
      <c r="F57" s="736"/>
      <c r="G57" s="736"/>
      <c r="H57" s="737"/>
      <c r="I57" s="889"/>
      <c r="J57" s="896"/>
      <c r="K57" s="736"/>
      <c r="L57" s="736"/>
      <c r="M57" s="897"/>
      <c r="N57" s="889"/>
      <c r="O57" s="896"/>
      <c r="P57" s="736"/>
      <c r="Q57" s="736"/>
      <c r="R57" s="737"/>
      <c r="S57" s="889"/>
      <c r="T57" s="896"/>
      <c r="U57" s="736"/>
      <c r="V57" s="736"/>
      <c r="W57" s="737"/>
    </row>
    <row r="58" spans="1:23" ht="29.25" customHeight="1">
      <c r="A58" s="169"/>
      <c r="B58" s="890" t="s">
        <v>130</v>
      </c>
      <c r="C58" s="895" t="s">
        <v>147</v>
      </c>
      <c r="D58" s="896">
        <v>21.07957</v>
      </c>
      <c r="E58" s="896"/>
      <c r="F58" s="736"/>
      <c r="G58" s="736">
        <v>21.07957</v>
      </c>
      <c r="H58" s="737"/>
      <c r="I58" s="889"/>
      <c r="J58" s="896"/>
      <c r="K58" s="736"/>
      <c r="L58" s="736">
        <f>L51</f>
        <v>27.65</v>
      </c>
      <c r="M58" s="897">
        <v>2</v>
      </c>
      <c r="N58" s="889">
        <v>27.6</v>
      </c>
      <c r="O58" s="896"/>
      <c r="P58" s="736"/>
      <c r="Q58" s="736">
        <f>Q64+R55+Q59</f>
        <v>27.6</v>
      </c>
      <c r="R58" s="737"/>
      <c r="S58" s="889"/>
      <c r="T58" s="896"/>
      <c r="U58" s="736"/>
      <c r="V58" s="736"/>
      <c r="W58" s="737"/>
    </row>
    <row r="59" spans="1:23" ht="16.5" customHeight="1">
      <c r="A59" s="169"/>
      <c r="B59" s="890" t="s">
        <v>1397</v>
      </c>
      <c r="C59" s="895" t="s">
        <v>141</v>
      </c>
      <c r="D59" s="735">
        <v>1.46</v>
      </c>
      <c r="E59" s="896"/>
      <c r="F59" s="736"/>
      <c r="G59" s="736">
        <v>1.438</v>
      </c>
      <c r="H59" s="737">
        <v>0.022</v>
      </c>
      <c r="I59" s="889">
        <f>SUM(J59:M59)</f>
        <v>1.9173659559999998</v>
      </c>
      <c r="J59" s="896"/>
      <c r="K59" s="736"/>
      <c r="L59" s="736">
        <f>L51*L62</f>
        <v>1.7917199999999998</v>
      </c>
      <c r="M59" s="897">
        <f>M62*M51</f>
        <v>0.12564595600000011</v>
      </c>
      <c r="N59" s="889">
        <v>1.49</v>
      </c>
      <c r="O59" s="896"/>
      <c r="P59" s="736"/>
      <c r="Q59" s="736">
        <f>N59-R59</f>
        <v>1.46828</v>
      </c>
      <c r="R59" s="737">
        <f>R43</f>
        <v>0.02172</v>
      </c>
      <c r="S59" s="889"/>
      <c r="T59" s="896"/>
      <c r="U59" s="736"/>
      <c r="V59" s="736"/>
      <c r="W59" s="737"/>
    </row>
    <row r="60" spans="1:23" ht="16.5" customHeight="1">
      <c r="A60" s="169"/>
      <c r="B60" s="1091" t="s">
        <v>1267</v>
      </c>
      <c r="C60" s="1108" t="s">
        <v>1269</v>
      </c>
      <c r="D60" s="898"/>
      <c r="E60" s="898"/>
      <c r="F60" s="899"/>
      <c r="G60" s="960"/>
      <c r="H60" s="961"/>
      <c r="I60" s="944"/>
      <c r="J60" s="718"/>
      <c r="K60" s="718"/>
      <c r="L60" s="718"/>
      <c r="M60" s="780"/>
      <c r="N60" s="944">
        <f>N59-N61</f>
        <v>0.7799999999999998</v>
      </c>
      <c r="O60" s="718"/>
      <c r="P60" s="718"/>
      <c r="Q60" s="718"/>
      <c r="R60" s="782"/>
      <c r="S60" s="944"/>
      <c r="T60" s="718"/>
      <c r="U60" s="718"/>
      <c r="V60" s="718"/>
      <c r="W60" s="782"/>
    </row>
    <row r="61" spans="1:23" ht="16.5" customHeight="1">
      <c r="A61" s="169"/>
      <c r="B61" s="1091" t="s">
        <v>1268</v>
      </c>
      <c r="C61" s="1108" t="s">
        <v>1270</v>
      </c>
      <c r="D61" s="898"/>
      <c r="E61" s="898"/>
      <c r="F61" s="899"/>
      <c r="G61" s="960"/>
      <c r="H61" s="961"/>
      <c r="I61" s="949"/>
      <c r="J61" s="718"/>
      <c r="K61" s="718"/>
      <c r="L61" s="718"/>
      <c r="M61" s="780"/>
      <c r="N61" s="943">
        <v>0.7100000000000002</v>
      </c>
      <c r="O61" s="718"/>
      <c r="P61" s="718"/>
      <c r="Q61" s="718"/>
      <c r="R61" s="782"/>
      <c r="S61" s="943"/>
      <c r="T61" s="718"/>
      <c r="U61" s="718"/>
      <c r="V61" s="718"/>
      <c r="W61" s="782"/>
    </row>
    <row r="62" spans="1:23" ht="16.5" customHeight="1">
      <c r="A62" s="169"/>
      <c r="B62" s="890"/>
      <c r="C62" s="895" t="s">
        <v>132</v>
      </c>
      <c r="D62" s="898">
        <v>0.05814022016236574</v>
      </c>
      <c r="E62" s="899"/>
      <c r="F62" s="899"/>
      <c r="G62" s="960">
        <f>G59/G51</f>
        <v>0.057704654895666126</v>
      </c>
      <c r="H62" s="961">
        <f>H59/H51</f>
        <v>0.0668693009118541</v>
      </c>
      <c r="I62" s="718">
        <f>I59/I51</f>
        <v>0.06946978101449275</v>
      </c>
      <c r="J62" s="718"/>
      <c r="K62" s="718"/>
      <c r="L62" s="718">
        <v>0.0648</v>
      </c>
      <c r="M62" s="718">
        <v>0.0727</v>
      </c>
      <c r="N62" s="1093">
        <f>IF(N51=0,0,N59/N51)</f>
        <v>0.05398550724637681</v>
      </c>
      <c r="O62" s="718"/>
      <c r="P62" s="718"/>
      <c r="Q62" s="718">
        <f>IF(Q51=0,0,Q59/Q51)</f>
        <v>0.05319855072463768</v>
      </c>
      <c r="R62" s="782">
        <f>R59/R51</f>
        <v>0.010850668425154366</v>
      </c>
      <c r="S62" s="1093"/>
      <c r="T62" s="718"/>
      <c r="U62" s="718"/>
      <c r="V62" s="718"/>
      <c r="W62" s="782"/>
    </row>
    <row r="63" spans="1:23" ht="39" customHeight="1">
      <c r="A63" s="169"/>
      <c r="B63" s="890" t="s">
        <v>1398</v>
      </c>
      <c r="C63" s="900" t="s">
        <v>142</v>
      </c>
      <c r="D63" s="901"/>
      <c r="E63" s="901"/>
      <c r="F63" s="902"/>
      <c r="G63" s="902"/>
      <c r="H63" s="737"/>
      <c r="I63" s="903"/>
      <c r="J63" s="901"/>
      <c r="K63" s="902"/>
      <c r="L63" s="902"/>
      <c r="M63" s="897"/>
      <c r="N63" s="903"/>
      <c r="O63" s="896"/>
      <c r="P63" s="736"/>
      <c r="Q63" s="736"/>
      <c r="R63" s="737"/>
      <c r="S63" s="903"/>
      <c r="T63" s="896"/>
      <c r="U63" s="736"/>
      <c r="V63" s="736"/>
      <c r="W63" s="737"/>
    </row>
    <row r="64" spans="1:23" ht="19.5" customHeight="1">
      <c r="A64" s="169"/>
      <c r="B64" s="890" t="s">
        <v>1402</v>
      </c>
      <c r="C64" s="895" t="s">
        <v>143</v>
      </c>
      <c r="D64" s="904">
        <v>23.46</v>
      </c>
      <c r="E64" s="905"/>
      <c r="F64" s="906"/>
      <c r="G64" s="719">
        <v>23.153</v>
      </c>
      <c r="H64" s="907">
        <v>0.307</v>
      </c>
      <c r="I64" s="735"/>
      <c r="J64" s="897"/>
      <c r="K64" s="736"/>
      <c r="L64" s="736">
        <v>24.13</v>
      </c>
      <c r="M64" s="908">
        <v>1.98</v>
      </c>
      <c r="N64" s="889">
        <v>26.110000000000003</v>
      </c>
      <c r="O64" s="897"/>
      <c r="P64" s="736"/>
      <c r="Q64" s="736">
        <f>N64-R64</f>
        <v>24.130000000000003</v>
      </c>
      <c r="R64" s="909">
        <v>1.98</v>
      </c>
      <c r="S64" s="889"/>
      <c r="T64" s="897"/>
      <c r="U64" s="736"/>
      <c r="V64" s="736"/>
      <c r="W64" s="909"/>
    </row>
    <row r="65" spans="1:23" ht="19.5" customHeight="1">
      <c r="A65" s="169"/>
      <c r="B65" s="890"/>
      <c r="C65" s="895" t="s">
        <v>1272</v>
      </c>
      <c r="D65" s="904"/>
      <c r="E65" s="905"/>
      <c r="F65" s="906"/>
      <c r="G65" s="719"/>
      <c r="H65" s="907"/>
      <c r="I65" s="889"/>
      <c r="J65" s="897"/>
      <c r="K65" s="736"/>
      <c r="L65" s="736"/>
      <c r="M65" s="908"/>
      <c r="N65" s="889">
        <v>17.98</v>
      </c>
      <c r="O65" s="908"/>
      <c r="P65" s="736"/>
      <c r="Q65" s="896"/>
      <c r="R65" s="909"/>
      <c r="S65" s="889"/>
      <c r="T65" s="908"/>
      <c r="U65" s="736"/>
      <c r="V65" s="896"/>
      <c r="W65" s="909"/>
    </row>
    <row r="66" spans="1:23" ht="19.5" customHeight="1">
      <c r="A66" s="169"/>
      <c r="B66" s="890"/>
      <c r="C66" s="895" t="s">
        <v>1273</v>
      </c>
      <c r="D66" s="904"/>
      <c r="E66" s="905"/>
      <c r="F66" s="906"/>
      <c r="G66" s="719"/>
      <c r="H66" s="907"/>
      <c r="I66" s="735"/>
      <c r="J66" s="897"/>
      <c r="K66" s="736"/>
      <c r="L66" s="736"/>
      <c r="M66" s="908"/>
      <c r="N66" s="735">
        <v>8.05</v>
      </c>
      <c r="O66" s="908"/>
      <c r="P66" s="736"/>
      <c r="Q66" s="896"/>
      <c r="R66" s="909"/>
      <c r="S66" s="735"/>
      <c r="T66" s="908"/>
      <c r="U66" s="736"/>
      <c r="V66" s="896"/>
      <c r="W66" s="909"/>
    </row>
    <row r="67" spans="1:23" ht="30" customHeight="1">
      <c r="A67" s="169"/>
      <c r="B67" s="910" t="s">
        <v>133</v>
      </c>
      <c r="C67" s="891" t="s">
        <v>145</v>
      </c>
      <c r="D67" s="720"/>
      <c r="E67" s="720"/>
      <c r="F67" s="721"/>
      <c r="G67" s="721"/>
      <c r="H67" s="722"/>
      <c r="I67" s="723"/>
      <c r="J67" s="774"/>
      <c r="K67" s="774"/>
      <c r="L67" s="774"/>
      <c r="M67" s="781"/>
      <c r="N67" s="1109"/>
      <c r="O67" s="724"/>
      <c r="P67" s="724"/>
      <c r="Q67" s="724"/>
      <c r="R67" s="725"/>
      <c r="S67" s="1109"/>
      <c r="T67" s="724"/>
      <c r="U67" s="724"/>
      <c r="V67" s="724"/>
      <c r="W67" s="725"/>
    </row>
    <row r="68" spans="1:23" ht="33" customHeight="1">
      <c r="A68" s="169"/>
      <c r="B68" s="890"/>
      <c r="C68" s="891" t="s">
        <v>144</v>
      </c>
      <c r="D68" s="911"/>
      <c r="E68" s="911"/>
      <c r="F68" s="719"/>
      <c r="G68" s="719"/>
      <c r="H68" s="907"/>
      <c r="I68" s="723"/>
      <c r="J68" s="774"/>
      <c r="K68" s="774"/>
      <c r="L68" s="774"/>
      <c r="M68" s="781"/>
      <c r="N68" s="893"/>
      <c r="O68" s="736"/>
      <c r="P68" s="736"/>
      <c r="Q68" s="736"/>
      <c r="R68" s="737"/>
      <c r="S68" s="893"/>
      <c r="T68" s="736"/>
      <c r="U68" s="736"/>
      <c r="V68" s="736"/>
      <c r="W68" s="737"/>
    </row>
    <row r="69" spans="1:23" ht="15">
      <c r="A69" s="169"/>
      <c r="B69" s="912"/>
      <c r="C69" s="913" t="s">
        <v>146</v>
      </c>
      <c r="D69" s="905"/>
      <c r="E69" s="905"/>
      <c r="F69" s="906"/>
      <c r="G69" s="906"/>
      <c r="H69" s="907"/>
      <c r="I69" s="723"/>
      <c r="J69" s="736"/>
      <c r="K69" s="736"/>
      <c r="L69" s="736"/>
      <c r="M69" s="914"/>
      <c r="N69" s="893"/>
      <c r="O69" s="736"/>
      <c r="P69" s="736"/>
      <c r="Q69" s="736"/>
      <c r="R69" s="737"/>
      <c r="S69" s="893"/>
      <c r="T69" s="736"/>
      <c r="U69" s="736"/>
      <c r="V69" s="736"/>
      <c r="W69" s="737"/>
    </row>
    <row r="70" spans="1:23" ht="15.75" customHeight="1">
      <c r="A70" s="169"/>
      <c r="B70" s="912" t="s">
        <v>134</v>
      </c>
      <c r="C70" s="913" t="s">
        <v>151</v>
      </c>
      <c r="D70" s="915"/>
      <c r="E70" s="905"/>
      <c r="F70" s="906"/>
      <c r="G70" s="906"/>
      <c r="H70" s="907"/>
      <c r="I70" s="893"/>
      <c r="J70" s="736"/>
      <c r="K70" s="736"/>
      <c r="L70" s="736"/>
      <c r="M70" s="916"/>
      <c r="N70" s="893"/>
      <c r="O70" s="736"/>
      <c r="P70" s="736"/>
      <c r="Q70" s="736"/>
      <c r="R70" s="737"/>
      <c r="S70" s="893"/>
      <c r="T70" s="736"/>
      <c r="U70" s="736"/>
      <c r="V70" s="736"/>
      <c r="W70" s="737"/>
    </row>
    <row r="71" spans="1:23" ht="15.75" customHeight="1" thickBot="1">
      <c r="A71" s="169"/>
      <c r="B71" s="917" t="s">
        <v>135</v>
      </c>
      <c r="C71" s="918" t="s">
        <v>152</v>
      </c>
      <c r="D71" s="919"/>
      <c r="E71" s="920"/>
      <c r="F71" s="921"/>
      <c r="G71" s="922"/>
      <c r="H71" s="923"/>
      <c r="I71" s="924"/>
      <c r="J71" s="925"/>
      <c r="K71" s="926"/>
      <c r="L71" s="926"/>
      <c r="M71" s="927"/>
      <c r="N71" s="924"/>
      <c r="O71" s="925"/>
      <c r="P71" s="926"/>
      <c r="Q71" s="926"/>
      <c r="R71" s="928"/>
      <c r="S71" s="924"/>
      <c r="T71" s="925"/>
      <c r="U71" s="926"/>
      <c r="V71" s="926"/>
      <c r="W71" s="928"/>
    </row>
    <row r="72" spans="1:23" ht="15.75" customHeight="1">
      <c r="A72" s="169"/>
      <c r="B72" s="1611"/>
      <c r="C72" s="1611"/>
      <c r="D72" s="1612"/>
      <c r="E72" s="1613"/>
      <c r="F72" s="1614"/>
      <c r="G72" s="1612"/>
      <c r="H72" s="1614"/>
      <c r="I72" s="1615"/>
      <c r="J72" s="1616"/>
      <c r="K72" s="1616"/>
      <c r="L72" s="1616"/>
      <c r="M72" s="1614"/>
      <c r="N72" s="1615"/>
      <c r="O72" s="1616"/>
      <c r="P72" s="1616"/>
      <c r="Q72" s="1616"/>
      <c r="R72" s="1616"/>
      <c r="S72" s="1615"/>
      <c r="T72" s="1616"/>
      <c r="U72" s="1616"/>
      <c r="V72" s="1616"/>
      <c r="W72" s="1616"/>
    </row>
    <row r="73" spans="1:23" ht="35.25" customHeight="1">
      <c r="A73" s="169"/>
      <c r="B73" s="1611"/>
      <c r="C73" s="1611"/>
      <c r="D73" s="1612"/>
      <c r="E73" s="1613"/>
      <c r="F73" s="1614"/>
      <c r="G73" s="1612"/>
      <c r="H73" s="1614"/>
      <c r="I73" s="1615"/>
      <c r="J73" s="1616"/>
      <c r="K73" s="1616" t="s">
        <v>704</v>
      </c>
      <c r="L73" s="1616">
        <f>'П2.1'!H39</f>
        <v>7.343</v>
      </c>
      <c r="M73" s="1614">
        <f>'П2.1'!H48</f>
        <v>3.62</v>
      </c>
      <c r="N73" s="1615"/>
      <c r="O73" s="1616"/>
      <c r="P73" s="1616"/>
      <c r="Q73" s="1616"/>
      <c r="R73" s="1616"/>
      <c r="S73" s="1615"/>
      <c r="T73" s="1616"/>
      <c r="U73" s="1616"/>
      <c r="V73" s="1616"/>
      <c r="W73" s="1616"/>
    </row>
    <row r="74" spans="1:23" ht="31.5" customHeight="1">
      <c r="A74" s="169"/>
      <c r="B74" s="1611"/>
      <c r="C74" s="1611"/>
      <c r="D74" s="1612"/>
      <c r="E74" s="1613"/>
      <c r="F74" s="1614"/>
      <c r="G74" s="1612"/>
      <c r="H74" s="1614"/>
      <c r="I74" s="1615"/>
      <c r="J74" s="1616"/>
      <c r="K74" s="1616"/>
      <c r="L74" s="1616">
        <f>L51/L73*1000</f>
        <v>3765.490943755958</v>
      </c>
      <c r="M74" s="1616">
        <f>M51/M73*1000</f>
        <v>477.4254143646413</v>
      </c>
      <c r="N74" s="1615"/>
      <c r="O74" s="1616"/>
      <c r="P74" s="1616"/>
      <c r="Q74" s="1616"/>
      <c r="R74" s="1616"/>
      <c r="S74" s="1615"/>
      <c r="T74" s="1616"/>
      <c r="U74" s="1616"/>
      <c r="V74" s="1616"/>
      <c r="W74" s="1616"/>
    </row>
    <row r="75" spans="1:23" ht="15.75" customHeight="1">
      <c r="A75" s="169"/>
      <c r="B75" s="1611"/>
      <c r="C75" s="1611"/>
      <c r="D75" s="1612"/>
      <c r="E75" s="1613"/>
      <c r="F75" s="1614"/>
      <c r="G75" s="1612"/>
      <c r="H75" s="1614"/>
      <c r="I75" s="1615"/>
      <c r="J75" s="1616"/>
      <c r="K75" s="1616" t="s">
        <v>705</v>
      </c>
      <c r="L75" s="1616">
        <v>0</v>
      </c>
      <c r="M75" s="1614">
        <v>0</v>
      </c>
      <c r="N75" s="1615"/>
      <c r="O75" s="1616"/>
      <c r="P75" s="1616"/>
      <c r="Q75" s="1616"/>
      <c r="R75" s="1616"/>
      <c r="S75" s="1615"/>
      <c r="T75" s="1616"/>
      <c r="U75" s="1616"/>
      <c r="V75" s="1616"/>
      <c r="W75" s="1616"/>
    </row>
    <row r="76" spans="1:23" ht="15.75" customHeight="1">
      <c r="A76" s="169"/>
      <c r="B76" s="1611"/>
      <c r="C76" s="1611"/>
      <c r="D76" s="1612"/>
      <c r="E76" s="1613"/>
      <c r="F76" s="1614"/>
      <c r="G76" s="1612"/>
      <c r="H76" s="1614"/>
      <c r="I76" s="1615"/>
      <c r="J76" s="1616"/>
      <c r="K76" s="1616"/>
      <c r="L76" s="1616"/>
      <c r="M76" s="1614"/>
      <c r="N76" s="1615"/>
      <c r="O76" s="1616"/>
      <c r="P76" s="1616"/>
      <c r="Q76" s="1616"/>
      <c r="R76" s="1616"/>
      <c r="S76" s="1615"/>
      <c r="T76" s="1616"/>
      <c r="U76" s="1616"/>
      <c r="V76" s="1616"/>
      <c r="W76" s="1616"/>
    </row>
    <row r="77" spans="1:23" ht="15.75" customHeight="1">
      <c r="A77" s="169"/>
      <c r="B77" s="1611"/>
      <c r="C77" s="1611"/>
      <c r="D77" s="1612"/>
      <c r="E77" s="1613"/>
      <c r="F77" s="1614"/>
      <c r="G77" s="1612"/>
      <c r="H77" s="1614"/>
      <c r="I77" s="1615"/>
      <c r="J77" s="1616"/>
      <c r="K77" s="1616"/>
      <c r="L77" s="1616"/>
      <c r="M77" s="1614"/>
      <c r="N77" s="1615"/>
      <c r="O77" s="1616"/>
      <c r="P77" s="1616"/>
      <c r="Q77" s="1616"/>
      <c r="R77" s="1616"/>
      <c r="S77" s="1615"/>
      <c r="T77" s="1616"/>
      <c r="U77" s="1616"/>
      <c r="V77" s="1616"/>
      <c r="W77" s="1616"/>
    </row>
    <row r="78" spans="2:19" ht="12.75">
      <c r="B78" s="929"/>
      <c r="C78" s="930"/>
      <c r="D78" s="931">
        <f>D51/D85*1000</f>
        <v>3833.846153846154</v>
      </c>
      <c r="E78" s="932"/>
      <c r="F78" s="932"/>
      <c r="G78" s="932"/>
      <c r="H78" s="932"/>
      <c r="I78" s="933">
        <f>I51/I85*1000</f>
        <v>3942.857142857143</v>
      </c>
      <c r="J78" s="933"/>
      <c r="K78" s="933"/>
      <c r="L78" s="932"/>
      <c r="M78" s="933"/>
      <c r="N78" s="934">
        <f>N51/N85*1000</f>
        <v>3942.857142857143</v>
      </c>
      <c r="O78" s="934"/>
      <c r="P78" s="934"/>
      <c r="Q78" s="934"/>
      <c r="R78" s="935"/>
      <c r="S78" s="15"/>
    </row>
    <row r="79" spans="2:19" ht="13.5" thickBot="1">
      <c r="B79" s="929"/>
      <c r="C79" s="930"/>
      <c r="D79" s="935"/>
      <c r="E79" s="935"/>
      <c r="F79" s="935"/>
      <c r="G79" s="935"/>
      <c r="H79" s="935"/>
      <c r="I79" s="935"/>
      <c r="J79" s="935"/>
      <c r="K79" s="935"/>
      <c r="L79" s="935"/>
      <c r="M79" s="935"/>
      <c r="N79" s="935"/>
      <c r="O79" s="935"/>
      <c r="P79" s="935"/>
      <c r="Q79" s="935"/>
      <c r="R79" s="935"/>
      <c r="S79" s="15"/>
    </row>
    <row r="80" spans="2:19" ht="12.75" customHeight="1">
      <c r="B80" s="1800" t="s">
        <v>1386</v>
      </c>
      <c r="C80" s="1811"/>
      <c r="D80" s="1811"/>
      <c r="E80" s="1811"/>
      <c r="F80" s="1811"/>
      <c r="G80" s="1811"/>
      <c r="H80" s="1813" t="s">
        <v>157</v>
      </c>
      <c r="I80" s="1811"/>
      <c r="J80" s="1811"/>
      <c r="K80" s="1814"/>
      <c r="L80" s="1800" t="s">
        <v>156</v>
      </c>
      <c r="M80" s="1808"/>
      <c r="N80" s="936"/>
      <c r="O80" s="936"/>
      <c r="P80" s="936"/>
      <c r="Q80" s="937"/>
      <c r="R80" s="936"/>
      <c r="S80" s="15"/>
    </row>
    <row r="81" spans="2:19" ht="15.75" thickBot="1">
      <c r="B81" s="1809"/>
      <c r="C81" s="1812"/>
      <c r="D81" s="1812"/>
      <c r="E81" s="1812"/>
      <c r="F81" s="1812"/>
      <c r="G81" s="1812"/>
      <c r="H81" s="1812"/>
      <c r="I81" s="1812"/>
      <c r="J81" s="1812"/>
      <c r="K81" s="1815"/>
      <c r="L81" s="1809"/>
      <c r="M81" s="1810"/>
      <c r="N81" s="938"/>
      <c r="O81" s="937"/>
      <c r="P81" s="936"/>
      <c r="Q81" s="936"/>
      <c r="R81" s="936"/>
      <c r="S81" s="15"/>
    </row>
    <row r="82" spans="2:23" ht="15" customHeight="1" thickBot="1">
      <c r="B82" s="1800" t="s">
        <v>1381</v>
      </c>
      <c r="C82" s="1802" t="s">
        <v>1558</v>
      </c>
      <c r="D82" s="1804" t="s">
        <v>1274</v>
      </c>
      <c r="E82" s="1773"/>
      <c r="F82" s="1773"/>
      <c r="G82" s="1773"/>
      <c r="H82" s="1774"/>
      <c r="I82" s="1805" t="s">
        <v>1271</v>
      </c>
      <c r="J82" s="1806"/>
      <c r="K82" s="1806"/>
      <c r="L82" s="1806"/>
      <c r="M82" s="1807"/>
      <c r="N82" s="1805" t="s">
        <v>1350</v>
      </c>
      <c r="O82" s="1806"/>
      <c r="P82" s="1806"/>
      <c r="Q82" s="1806"/>
      <c r="R82" s="1807"/>
      <c r="S82" s="1805" t="s">
        <v>1350</v>
      </c>
      <c r="T82" s="1806"/>
      <c r="U82" s="1806"/>
      <c r="V82" s="1806"/>
      <c r="W82" s="1807"/>
    </row>
    <row r="83" spans="2:23" ht="16.5" thickBot="1">
      <c r="B83" s="1801"/>
      <c r="C83" s="1803"/>
      <c r="D83" s="890" t="s">
        <v>1564</v>
      </c>
      <c r="E83" s="240" t="s">
        <v>1560</v>
      </c>
      <c r="F83" s="240" t="s">
        <v>1561</v>
      </c>
      <c r="G83" s="240" t="s">
        <v>1562</v>
      </c>
      <c r="H83" s="727" t="s">
        <v>1563</v>
      </c>
      <c r="I83" s="422" t="s">
        <v>1564</v>
      </c>
      <c r="J83" s="423" t="s">
        <v>1560</v>
      </c>
      <c r="K83" s="423" t="s">
        <v>1561</v>
      </c>
      <c r="L83" s="423" t="s">
        <v>1562</v>
      </c>
      <c r="M83" s="424" t="s">
        <v>1563</v>
      </c>
      <c r="N83" s="939" t="s">
        <v>1564</v>
      </c>
      <c r="O83" s="940" t="s">
        <v>1560</v>
      </c>
      <c r="P83" s="940" t="s">
        <v>1561</v>
      </c>
      <c r="Q83" s="940" t="s">
        <v>1562</v>
      </c>
      <c r="R83" s="941" t="s">
        <v>1563</v>
      </c>
      <c r="S83" s="939" t="s">
        <v>1564</v>
      </c>
      <c r="T83" s="940" t="s">
        <v>1560</v>
      </c>
      <c r="U83" s="940" t="s">
        <v>1561</v>
      </c>
      <c r="V83" s="940" t="s">
        <v>1562</v>
      </c>
      <c r="W83" s="941" t="s">
        <v>1563</v>
      </c>
    </row>
    <row r="84" spans="2:23" ht="15.75">
      <c r="B84" s="890">
        <v>1</v>
      </c>
      <c r="C84" s="727">
        <v>2</v>
      </c>
      <c r="D84" s="890">
        <v>3</v>
      </c>
      <c r="E84" s="240">
        <v>4</v>
      </c>
      <c r="F84" s="240">
        <v>5</v>
      </c>
      <c r="G84" s="240">
        <v>6</v>
      </c>
      <c r="H84" s="727">
        <v>7</v>
      </c>
      <c r="I84" s="245">
        <v>8</v>
      </c>
      <c r="J84" s="240">
        <v>9</v>
      </c>
      <c r="K84" s="240">
        <v>10</v>
      </c>
      <c r="L84" s="240">
        <v>11</v>
      </c>
      <c r="M84" s="727">
        <v>12</v>
      </c>
      <c r="N84" s="422">
        <v>8</v>
      </c>
      <c r="O84" s="423">
        <v>9</v>
      </c>
      <c r="P84" s="423">
        <v>10</v>
      </c>
      <c r="Q84" s="423">
        <v>11</v>
      </c>
      <c r="R84" s="424">
        <v>12</v>
      </c>
      <c r="S84" s="422">
        <v>8</v>
      </c>
      <c r="T84" s="423">
        <v>9</v>
      </c>
      <c r="U84" s="423">
        <v>10</v>
      </c>
      <c r="V84" s="423">
        <v>11</v>
      </c>
      <c r="W84" s="424">
        <v>12</v>
      </c>
    </row>
    <row r="85" spans="2:23" ht="30">
      <c r="B85" s="942" t="s">
        <v>1383</v>
      </c>
      <c r="C85" s="727" t="s">
        <v>148</v>
      </c>
      <c r="D85" s="943">
        <v>6.5</v>
      </c>
      <c r="E85" s="736"/>
      <c r="F85" s="736"/>
      <c r="G85" s="906">
        <v>6.5</v>
      </c>
      <c r="H85" s="737">
        <v>0.085</v>
      </c>
      <c r="I85" s="735">
        <v>7</v>
      </c>
      <c r="J85" s="736"/>
      <c r="K85" s="736"/>
      <c r="L85" s="906">
        <v>6.9</v>
      </c>
      <c r="M85" s="737">
        <v>0.1</v>
      </c>
      <c r="N85" s="735">
        <v>7</v>
      </c>
      <c r="O85" s="736"/>
      <c r="P85" s="736"/>
      <c r="Q85" s="906">
        <f>Q92</f>
        <v>7.000000000000001</v>
      </c>
      <c r="R85" s="737">
        <f>R98+R93</f>
        <v>0.11</v>
      </c>
      <c r="S85" s="735" t="e">
        <f>#REF!</f>
        <v>#REF!</v>
      </c>
      <c r="T85" s="736"/>
      <c r="U85" s="736"/>
      <c r="V85" s="906" t="e">
        <f>V92</f>
        <v>#REF!</v>
      </c>
      <c r="W85" s="737">
        <f>W98+W93</f>
        <v>0.11</v>
      </c>
    </row>
    <row r="86" spans="2:23" ht="30">
      <c r="B86" s="890" t="s">
        <v>125</v>
      </c>
      <c r="C86" s="727" t="s">
        <v>149</v>
      </c>
      <c r="D86" s="944"/>
      <c r="E86" s="736"/>
      <c r="F86" s="736"/>
      <c r="G86" s="906"/>
      <c r="H86" s="909">
        <v>0.085</v>
      </c>
      <c r="I86" s="944"/>
      <c r="J86" s="736"/>
      <c r="K86" s="736"/>
      <c r="L86" s="906"/>
      <c r="M86" s="909"/>
      <c r="N86" s="944"/>
      <c r="O86" s="736"/>
      <c r="P86" s="736"/>
      <c r="Q86" s="906"/>
      <c r="R86" s="909">
        <f>R85-(R90+R91+R92)</f>
        <v>0.11</v>
      </c>
      <c r="S86" s="944"/>
      <c r="T86" s="736"/>
      <c r="U86" s="736"/>
      <c r="V86" s="906"/>
      <c r="W86" s="909">
        <f>W85-(W90+W91+W92)</f>
        <v>0.11</v>
      </c>
    </row>
    <row r="87" spans="2:23" ht="15.75">
      <c r="B87" s="890"/>
      <c r="C87" s="727" t="s">
        <v>126</v>
      </c>
      <c r="D87" s="944"/>
      <c r="E87" s="736"/>
      <c r="F87" s="736"/>
      <c r="G87" s="736"/>
      <c r="H87" s="945"/>
      <c r="I87" s="866"/>
      <c r="J87" s="418"/>
      <c r="K87" s="418"/>
      <c r="L87" s="736"/>
      <c r="M87" s="728"/>
      <c r="N87" s="944"/>
      <c r="O87" s="736"/>
      <c r="P87" s="736"/>
      <c r="Q87" s="736"/>
      <c r="R87" s="945"/>
      <c r="S87" s="944"/>
      <c r="T87" s="736"/>
      <c r="U87" s="736"/>
      <c r="V87" s="736"/>
      <c r="W87" s="945"/>
    </row>
    <row r="88" spans="2:23" ht="15.75">
      <c r="B88" s="890"/>
      <c r="C88" s="727" t="s">
        <v>127</v>
      </c>
      <c r="D88" s="944"/>
      <c r="E88" s="736"/>
      <c r="F88" s="736"/>
      <c r="G88" s="906"/>
      <c r="H88" s="737"/>
      <c r="I88" s="866"/>
      <c r="J88" s="418"/>
      <c r="K88" s="418"/>
      <c r="L88" s="418"/>
      <c r="M88" s="728"/>
      <c r="N88" s="944"/>
      <c r="O88" s="736"/>
      <c r="P88" s="736"/>
      <c r="Q88" s="906"/>
      <c r="R88" s="737"/>
      <c r="S88" s="944"/>
      <c r="T88" s="736"/>
      <c r="U88" s="736"/>
      <c r="V88" s="906"/>
      <c r="W88" s="737"/>
    </row>
    <row r="89" spans="2:23" ht="15.75">
      <c r="B89" s="890"/>
      <c r="C89" s="727" t="s">
        <v>1594</v>
      </c>
      <c r="D89" s="944"/>
      <c r="E89" s="736"/>
      <c r="F89" s="736"/>
      <c r="G89" s="736"/>
      <c r="H89" s="963">
        <v>0.085</v>
      </c>
      <c r="I89" s="866"/>
      <c r="J89" s="418"/>
      <c r="K89" s="418"/>
      <c r="L89" s="418"/>
      <c r="M89" s="728"/>
      <c r="N89" s="944"/>
      <c r="O89" s="736"/>
      <c r="P89" s="736"/>
      <c r="Q89" s="736"/>
      <c r="R89" s="946">
        <f>R86</f>
        <v>0.11</v>
      </c>
      <c r="S89" s="944"/>
      <c r="T89" s="736"/>
      <c r="U89" s="736"/>
      <c r="V89" s="736"/>
      <c r="W89" s="946">
        <f>W86</f>
        <v>0.11</v>
      </c>
    </row>
    <row r="90" spans="2:23" ht="15">
      <c r="B90" s="890" t="s">
        <v>128</v>
      </c>
      <c r="C90" s="947" t="s">
        <v>150</v>
      </c>
      <c r="D90" s="889"/>
      <c r="E90" s="902"/>
      <c r="F90" s="902"/>
      <c r="G90" s="902"/>
      <c r="H90" s="948"/>
      <c r="I90" s="797"/>
      <c r="J90" s="418"/>
      <c r="K90" s="418"/>
      <c r="L90" s="418"/>
      <c r="M90" s="728"/>
      <c r="N90" s="889"/>
      <c r="O90" s="902"/>
      <c r="P90" s="902"/>
      <c r="Q90" s="902"/>
      <c r="R90" s="948"/>
      <c r="S90" s="889"/>
      <c r="T90" s="902"/>
      <c r="U90" s="902"/>
      <c r="V90" s="902"/>
      <c r="W90" s="948"/>
    </row>
    <row r="91" spans="2:23" ht="30">
      <c r="B91" s="890"/>
      <c r="C91" s="727" t="s">
        <v>158</v>
      </c>
      <c r="D91" s="889"/>
      <c r="E91" s="736"/>
      <c r="F91" s="902"/>
      <c r="G91" s="902"/>
      <c r="H91" s="948"/>
      <c r="I91" s="797"/>
      <c r="J91" s="418"/>
      <c r="K91" s="418"/>
      <c r="L91" s="418"/>
      <c r="M91" s="728"/>
      <c r="N91" s="889"/>
      <c r="O91" s="736"/>
      <c r="P91" s="902"/>
      <c r="Q91" s="906"/>
      <c r="R91" s="948"/>
      <c r="S91" s="889"/>
      <c r="T91" s="736"/>
      <c r="U91" s="902"/>
      <c r="V91" s="906"/>
      <c r="W91" s="948"/>
    </row>
    <row r="92" spans="2:23" ht="15">
      <c r="B92" s="890"/>
      <c r="C92" s="727" t="s">
        <v>131</v>
      </c>
      <c r="D92" s="944">
        <v>6.5</v>
      </c>
      <c r="E92" s="950"/>
      <c r="F92" s="951"/>
      <c r="G92" s="952">
        <v>6.5</v>
      </c>
      <c r="H92" s="953"/>
      <c r="I92" s="797"/>
      <c r="J92" s="767"/>
      <c r="K92" s="767"/>
      <c r="L92" s="768">
        <v>6.4</v>
      </c>
      <c r="M92" s="769">
        <v>0.1</v>
      </c>
      <c r="N92" s="944">
        <f>N85</f>
        <v>7</v>
      </c>
      <c r="O92" s="950"/>
      <c r="P92" s="951"/>
      <c r="Q92" s="950">
        <f>Q98+R85+Q93</f>
        <v>7.000000000000001</v>
      </c>
      <c r="R92" s="953"/>
      <c r="S92" s="944" t="e">
        <f>S85</f>
        <v>#REF!</v>
      </c>
      <c r="T92" s="950"/>
      <c r="U92" s="951"/>
      <c r="V92" s="950" t="e">
        <f>V98+W85+V93</f>
        <v>#REF!</v>
      </c>
      <c r="W92" s="953"/>
    </row>
    <row r="93" spans="2:23" ht="15">
      <c r="B93" s="890" t="s">
        <v>1397</v>
      </c>
      <c r="C93" s="727" t="s">
        <v>153</v>
      </c>
      <c r="D93" s="889">
        <v>0.351</v>
      </c>
      <c r="E93" s="736"/>
      <c r="F93" s="736"/>
      <c r="G93" s="736">
        <v>0.3458</v>
      </c>
      <c r="H93" s="909">
        <v>0.056</v>
      </c>
      <c r="I93" s="889">
        <f>SUM(J93:M93)</f>
        <v>0.39</v>
      </c>
      <c r="J93" s="736"/>
      <c r="K93" s="736"/>
      <c r="L93" s="736">
        <v>0.38</v>
      </c>
      <c r="M93" s="909">
        <v>0.01</v>
      </c>
      <c r="N93" s="889">
        <v>0.39</v>
      </c>
      <c r="O93" s="736"/>
      <c r="P93" s="736"/>
      <c r="Q93" s="954">
        <v>0.38</v>
      </c>
      <c r="R93" s="955">
        <v>0.01</v>
      </c>
      <c r="S93" s="889">
        <v>0.4</v>
      </c>
      <c r="T93" s="736"/>
      <c r="U93" s="736"/>
      <c r="V93" s="954">
        <v>0.38</v>
      </c>
      <c r="W93" s="955">
        <v>0.01</v>
      </c>
    </row>
    <row r="94" spans="2:23" ht="15.75">
      <c r="B94" s="1107" t="s">
        <v>1267</v>
      </c>
      <c r="C94" s="1108" t="s">
        <v>1269</v>
      </c>
      <c r="D94" s="731"/>
      <c r="E94" s="718"/>
      <c r="F94" s="718"/>
      <c r="G94" s="718"/>
      <c r="H94" s="732"/>
      <c r="I94" s="944">
        <v>0.2</v>
      </c>
      <c r="J94" s="718"/>
      <c r="K94" s="718"/>
      <c r="L94" s="718"/>
      <c r="M94" s="1094"/>
      <c r="N94" s="944">
        <f>N93-N95</f>
        <v>0.21833333333333338</v>
      </c>
      <c r="O94" s="718"/>
      <c r="P94" s="718"/>
      <c r="Q94" s="718"/>
      <c r="R94" s="732"/>
      <c r="S94" s="944">
        <f>S93+S95</f>
        <v>0.46630000000000005</v>
      </c>
      <c r="T94" s="718"/>
      <c r="U94" s="718"/>
      <c r="V94" s="718"/>
      <c r="W94" s="732"/>
    </row>
    <row r="95" spans="2:23" ht="15.75">
      <c r="B95" s="1107" t="s">
        <v>1268</v>
      </c>
      <c r="C95" s="1108" t="s">
        <v>1270</v>
      </c>
      <c r="D95" s="731"/>
      <c r="E95" s="718"/>
      <c r="F95" s="718"/>
      <c r="G95" s="718"/>
      <c r="H95" s="732"/>
      <c r="I95" s="949">
        <v>0.19</v>
      </c>
      <c r="J95" s="718"/>
      <c r="K95" s="718"/>
      <c r="L95" s="718"/>
      <c r="M95" s="1094"/>
      <c r="N95" s="735">
        <v>0.17166666666666663</v>
      </c>
      <c r="O95" s="718"/>
      <c r="P95" s="718"/>
      <c r="Q95" s="718"/>
      <c r="R95" s="732"/>
      <c r="S95" s="735">
        <v>0.0663</v>
      </c>
      <c r="T95" s="718"/>
      <c r="U95" s="718"/>
      <c r="V95" s="718"/>
      <c r="W95" s="732"/>
    </row>
    <row r="96" spans="2:23" ht="15.75">
      <c r="B96" s="890"/>
      <c r="C96" s="727" t="s">
        <v>154</v>
      </c>
      <c r="D96" s="731">
        <v>0.0541</v>
      </c>
      <c r="E96" s="718"/>
      <c r="F96" s="718"/>
      <c r="G96" s="718">
        <v>0.0532</v>
      </c>
      <c r="H96" s="732">
        <v>0.0661</v>
      </c>
      <c r="I96" s="731"/>
      <c r="J96" s="718"/>
      <c r="K96" s="718"/>
      <c r="L96" s="718"/>
      <c r="M96" s="732"/>
      <c r="N96" s="1093">
        <f>N93/N85</f>
        <v>0.055714285714285716</v>
      </c>
      <c r="O96" s="718"/>
      <c r="P96" s="718"/>
      <c r="Q96" s="718">
        <f>Q93/Q85</f>
        <v>0.05428571428571428</v>
      </c>
      <c r="R96" s="732">
        <f>R93/R85</f>
        <v>0.09090909090909091</v>
      </c>
      <c r="S96" s="1093" t="e">
        <f>S93/S85</f>
        <v>#REF!</v>
      </c>
      <c r="T96" s="718"/>
      <c r="U96" s="718"/>
      <c r="V96" s="718" t="e">
        <f>V93/V85</f>
        <v>#REF!</v>
      </c>
      <c r="W96" s="732">
        <f>W93/W85</f>
        <v>0.09090909090909091</v>
      </c>
    </row>
    <row r="97" spans="2:23" ht="30.75" customHeight="1">
      <c r="B97" s="890" t="s">
        <v>1398</v>
      </c>
      <c r="C97" s="956" t="s">
        <v>159</v>
      </c>
      <c r="D97" s="735"/>
      <c r="E97" s="902"/>
      <c r="F97" s="902"/>
      <c r="G97" s="902"/>
      <c r="H97" s="948"/>
      <c r="I97" s="800">
        <f>SUM(J97:M97)</f>
        <v>6.51</v>
      </c>
      <c r="J97" s="767"/>
      <c r="K97" s="767"/>
      <c r="L97" s="767">
        <v>6.51</v>
      </c>
      <c r="M97" s="526"/>
      <c r="N97" s="735"/>
      <c r="O97" s="902"/>
      <c r="P97" s="902"/>
      <c r="Q97" s="902"/>
      <c r="R97" s="948"/>
      <c r="S97" s="735"/>
      <c r="T97" s="902"/>
      <c r="U97" s="902"/>
      <c r="V97" s="902"/>
      <c r="W97" s="948"/>
    </row>
    <row r="98" spans="2:23" ht="29.25" customHeight="1">
      <c r="B98" s="176" t="s">
        <v>1402</v>
      </c>
      <c r="C98" s="241" t="s">
        <v>1463</v>
      </c>
      <c r="D98" s="796">
        <v>6.149</v>
      </c>
      <c r="E98" s="587"/>
      <c r="F98" s="418"/>
      <c r="G98" s="418">
        <v>6.069</v>
      </c>
      <c r="H98" s="419">
        <v>0.079</v>
      </c>
      <c r="I98" s="712">
        <v>6.61</v>
      </c>
      <c r="J98" s="713"/>
      <c r="K98" s="713"/>
      <c r="L98" s="713">
        <v>6.9</v>
      </c>
      <c r="M98" s="729">
        <v>0.1</v>
      </c>
      <c r="N98" s="712">
        <v>6.61</v>
      </c>
      <c r="O98" s="713"/>
      <c r="P98" s="713"/>
      <c r="Q98" s="713">
        <f>N98-R98</f>
        <v>6.510000000000001</v>
      </c>
      <c r="R98" s="729">
        <v>0.1</v>
      </c>
      <c r="S98" s="712" t="e">
        <f>S85-S93</f>
        <v>#REF!</v>
      </c>
      <c r="T98" s="713"/>
      <c r="U98" s="713"/>
      <c r="V98" s="713" t="e">
        <f>S98-W98</f>
        <v>#REF!</v>
      </c>
      <c r="W98" s="729">
        <v>0.1</v>
      </c>
    </row>
    <row r="99" spans="2:23" ht="29.25" customHeight="1">
      <c r="B99" s="176"/>
      <c r="C99" s="895" t="s">
        <v>1272</v>
      </c>
      <c r="D99" s="796"/>
      <c r="E99" s="587"/>
      <c r="F99" s="418"/>
      <c r="G99" s="418"/>
      <c r="H99" s="419"/>
      <c r="I99" s="712">
        <f>I98-I100</f>
        <v>6.42</v>
      </c>
      <c r="J99" s="713"/>
      <c r="K99" s="713"/>
      <c r="L99" s="713"/>
      <c r="M99" s="729"/>
      <c r="N99" s="712">
        <v>4.58</v>
      </c>
      <c r="O99" s="713"/>
      <c r="P99" s="713"/>
      <c r="Q99" s="713"/>
      <c r="R99" s="729"/>
      <c r="S99" s="712"/>
      <c r="T99" s="713"/>
      <c r="U99" s="713"/>
      <c r="V99" s="713"/>
      <c r="W99" s="729"/>
    </row>
    <row r="100" spans="2:23" ht="29.25" customHeight="1">
      <c r="B100" s="176"/>
      <c r="C100" s="895" t="s">
        <v>1273</v>
      </c>
      <c r="D100" s="796"/>
      <c r="E100" s="587"/>
      <c r="F100" s="418"/>
      <c r="G100" s="418"/>
      <c r="H100" s="419"/>
      <c r="I100" s="788">
        <v>0.19</v>
      </c>
      <c r="J100" s="713"/>
      <c r="K100" s="713"/>
      <c r="L100" s="713"/>
      <c r="M100" s="729"/>
      <c r="N100" s="788">
        <f>N98-N99</f>
        <v>2.0300000000000002</v>
      </c>
      <c r="O100" s="713"/>
      <c r="P100" s="713"/>
      <c r="Q100" s="713"/>
      <c r="R100" s="729"/>
      <c r="S100" s="788">
        <v>0.19</v>
      </c>
      <c r="T100" s="713"/>
      <c r="U100" s="713"/>
      <c r="V100" s="713"/>
      <c r="W100" s="729"/>
    </row>
    <row r="101" spans="2:23" ht="45" customHeight="1">
      <c r="B101" s="185" t="s">
        <v>160</v>
      </c>
      <c r="C101" s="184" t="s">
        <v>161</v>
      </c>
      <c r="D101" s="263"/>
      <c r="E101" s="264"/>
      <c r="F101" s="264"/>
      <c r="G101" s="264"/>
      <c r="H101" s="421"/>
      <c r="I101" s="798"/>
      <c r="J101" s="736"/>
      <c r="K101" s="736"/>
      <c r="L101" s="736"/>
      <c r="M101" s="737"/>
      <c r="N101" s="735"/>
      <c r="O101" s="736"/>
      <c r="P101" s="736"/>
      <c r="Q101" s="736"/>
      <c r="R101" s="737"/>
      <c r="S101" s="735"/>
      <c r="T101" s="736"/>
      <c r="U101" s="736"/>
      <c r="V101" s="736"/>
      <c r="W101" s="737"/>
    </row>
    <row r="102" spans="2:23" ht="27.75" customHeight="1">
      <c r="B102" s="176" t="s">
        <v>134</v>
      </c>
      <c r="C102" s="241" t="s">
        <v>162</v>
      </c>
      <c r="D102" s="409"/>
      <c r="E102" s="410"/>
      <c r="F102" s="410"/>
      <c r="G102" s="410"/>
      <c r="H102" s="420"/>
      <c r="I102" s="798"/>
      <c r="J102" s="770"/>
      <c r="K102" s="770"/>
      <c r="L102" s="770"/>
      <c r="M102" s="771"/>
      <c r="N102" s="733"/>
      <c r="O102" s="717"/>
      <c r="P102" s="717"/>
      <c r="Q102" s="717"/>
      <c r="R102" s="730"/>
      <c r="S102" s="733"/>
      <c r="T102" s="717"/>
      <c r="U102" s="717"/>
      <c r="V102" s="717"/>
      <c r="W102" s="730"/>
    </row>
    <row r="103" spans="2:23" ht="15.75" thickBot="1">
      <c r="B103" s="186" t="s">
        <v>135</v>
      </c>
      <c r="C103" s="187" t="s">
        <v>155</v>
      </c>
      <c r="D103" s="689"/>
      <c r="E103" s="690"/>
      <c r="F103" s="690"/>
      <c r="G103" s="690"/>
      <c r="H103" s="691"/>
      <c r="I103" s="799"/>
      <c r="J103" s="772"/>
      <c r="K103" s="772"/>
      <c r="L103" s="772"/>
      <c r="M103" s="773"/>
      <c r="N103" s="738"/>
      <c r="O103" s="726"/>
      <c r="P103" s="739"/>
      <c r="Q103" s="726"/>
      <c r="R103" s="740"/>
      <c r="S103" s="738"/>
      <c r="T103" s="726"/>
      <c r="U103" s="739"/>
      <c r="V103" s="726"/>
      <c r="W103" s="740"/>
    </row>
    <row r="104" spans="2:18" ht="13.5" thickBot="1">
      <c r="B104" s="160"/>
      <c r="C104" s="165"/>
      <c r="D104" s="144"/>
      <c r="E104" s="144"/>
      <c r="F104" s="144"/>
      <c r="G104" s="144"/>
      <c r="H104" s="144"/>
      <c r="I104" s="146"/>
      <c r="J104" s="166"/>
      <c r="K104" s="146"/>
      <c r="L104" s="166"/>
      <c r="M104" s="146"/>
      <c r="N104" s="143"/>
      <c r="O104" s="166"/>
      <c r="P104" s="167"/>
      <c r="Q104" s="143"/>
      <c r="R104" s="167"/>
    </row>
    <row r="105" spans="2:19" ht="12.75" customHeight="1">
      <c r="B105" s="1778" t="s">
        <v>1387</v>
      </c>
      <c r="C105" s="1779"/>
      <c r="D105" s="1779"/>
      <c r="E105" s="1779"/>
      <c r="F105" s="1779"/>
      <c r="G105" s="1779"/>
      <c r="H105" s="1779"/>
      <c r="I105" s="1779"/>
      <c r="J105" s="199"/>
      <c r="K105" s="199"/>
      <c r="L105" s="199"/>
      <c r="M105" s="199"/>
      <c r="N105" s="199"/>
      <c r="O105" s="199"/>
      <c r="P105" s="199"/>
      <c r="Q105" s="199"/>
      <c r="R105" s="1782" t="s">
        <v>202</v>
      </c>
      <c r="S105" s="1783"/>
    </row>
    <row r="106" spans="2:19" ht="15.75" thickBot="1">
      <c r="B106" s="1780"/>
      <c r="C106" s="1781"/>
      <c r="D106" s="1781"/>
      <c r="E106" s="1781"/>
      <c r="F106" s="1781"/>
      <c r="G106" s="1781"/>
      <c r="H106" s="1781"/>
      <c r="I106" s="1781"/>
      <c r="J106" s="200"/>
      <c r="K106" s="200"/>
      <c r="L106" s="200"/>
      <c r="M106" s="200"/>
      <c r="N106" s="200"/>
      <c r="O106" s="200"/>
      <c r="P106" s="200"/>
      <c r="Q106" s="200"/>
      <c r="R106" s="1784"/>
      <c r="S106" s="1785"/>
    </row>
    <row r="107" spans="2:19" ht="12.75" customHeight="1">
      <c r="B107" s="1786" t="s">
        <v>163</v>
      </c>
      <c r="C107" s="1788" t="s">
        <v>164</v>
      </c>
      <c r="D107" s="1788" t="s">
        <v>181</v>
      </c>
      <c r="E107" s="1788"/>
      <c r="F107" s="1788"/>
      <c r="G107" s="1788"/>
      <c r="H107" s="1788"/>
      <c r="I107" s="1788" t="s">
        <v>182</v>
      </c>
      <c r="J107" s="1788"/>
      <c r="K107" s="1788"/>
      <c r="L107" s="1788"/>
      <c r="M107" s="1788"/>
      <c r="N107" s="1788" t="s">
        <v>184</v>
      </c>
      <c r="O107" s="1788" t="s">
        <v>185</v>
      </c>
      <c r="P107" s="1788"/>
      <c r="Q107" s="1788"/>
      <c r="R107" s="1788"/>
      <c r="S107" s="1859"/>
    </row>
    <row r="108" spans="2:19" ht="12.75">
      <c r="B108" s="1787"/>
      <c r="C108" s="1789"/>
      <c r="D108" s="1789"/>
      <c r="E108" s="1789"/>
      <c r="F108" s="1789"/>
      <c r="G108" s="1789"/>
      <c r="H108" s="1789"/>
      <c r="I108" s="1789"/>
      <c r="J108" s="1789"/>
      <c r="K108" s="1789"/>
      <c r="L108" s="1789"/>
      <c r="M108" s="1789"/>
      <c r="N108" s="1789"/>
      <c r="O108" s="1789"/>
      <c r="P108" s="1789"/>
      <c r="Q108" s="1789"/>
      <c r="R108" s="1789"/>
      <c r="S108" s="1837"/>
    </row>
    <row r="109" spans="2:19" ht="12.75">
      <c r="B109" s="1787"/>
      <c r="C109" s="1789"/>
      <c r="D109" s="1789"/>
      <c r="E109" s="1789"/>
      <c r="F109" s="1789"/>
      <c r="G109" s="1789"/>
      <c r="H109" s="1789"/>
      <c r="I109" s="1789"/>
      <c r="J109" s="1789"/>
      <c r="K109" s="1789"/>
      <c r="L109" s="1789"/>
      <c r="M109" s="1789"/>
      <c r="N109" s="1789"/>
      <c r="O109" s="1789"/>
      <c r="P109" s="1789"/>
      <c r="Q109" s="1789"/>
      <c r="R109" s="1789"/>
      <c r="S109" s="1837"/>
    </row>
    <row r="110" spans="2:19" ht="15">
      <c r="B110" s="1787"/>
      <c r="C110" s="1789"/>
      <c r="D110" s="198" t="s">
        <v>1564</v>
      </c>
      <c r="E110" s="198" t="s">
        <v>1560</v>
      </c>
      <c r="F110" s="198" t="s">
        <v>1561</v>
      </c>
      <c r="G110" s="198" t="s">
        <v>1562</v>
      </c>
      <c r="H110" s="198" t="s">
        <v>165</v>
      </c>
      <c r="I110" s="198" t="s">
        <v>1564</v>
      </c>
      <c r="J110" s="198" t="s">
        <v>166</v>
      </c>
      <c r="K110" s="198" t="s">
        <v>1561</v>
      </c>
      <c r="L110" s="198" t="s">
        <v>1562</v>
      </c>
      <c r="M110" s="198" t="s">
        <v>1563</v>
      </c>
      <c r="N110" s="198" t="s">
        <v>183</v>
      </c>
      <c r="O110" s="198" t="s">
        <v>1564</v>
      </c>
      <c r="P110" s="198" t="s">
        <v>1560</v>
      </c>
      <c r="Q110" s="198" t="s">
        <v>167</v>
      </c>
      <c r="R110" s="198" t="s">
        <v>1562</v>
      </c>
      <c r="S110" s="202" t="s">
        <v>168</v>
      </c>
    </row>
    <row r="111" spans="2:19" ht="15">
      <c r="B111" s="201">
        <v>1</v>
      </c>
      <c r="C111" s="198">
        <v>2</v>
      </c>
      <c r="D111" s="198">
        <v>3</v>
      </c>
      <c r="E111" s="198">
        <v>4</v>
      </c>
      <c r="F111" s="198">
        <v>5</v>
      </c>
      <c r="G111" s="198">
        <v>6</v>
      </c>
      <c r="H111" s="198">
        <v>7</v>
      </c>
      <c r="I111" s="198">
        <v>8</v>
      </c>
      <c r="J111" s="198">
        <v>9</v>
      </c>
      <c r="K111" s="198">
        <v>10</v>
      </c>
      <c r="L111" s="198">
        <v>11</v>
      </c>
      <c r="M111" s="198">
        <v>12</v>
      </c>
      <c r="N111" s="198">
        <v>13</v>
      </c>
      <c r="O111" s="198">
        <v>14</v>
      </c>
      <c r="P111" s="198">
        <v>15</v>
      </c>
      <c r="Q111" s="198">
        <v>16</v>
      </c>
      <c r="R111" s="198">
        <v>17</v>
      </c>
      <c r="S111" s="202">
        <v>18</v>
      </c>
    </row>
    <row r="112" spans="2:19" ht="15">
      <c r="B112" s="1787" t="s">
        <v>1260</v>
      </c>
      <c r="C112" s="1789"/>
      <c r="D112" s="1789"/>
      <c r="E112" s="1789"/>
      <c r="F112" s="1789"/>
      <c r="G112" s="1789"/>
      <c r="H112" s="1789"/>
      <c r="I112" s="1789"/>
      <c r="J112" s="1789"/>
      <c r="K112" s="1789"/>
      <c r="L112" s="1789"/>
      <c r="M112" s="1789"/>
      <c r="N112" s="1789"/>
      <c r="O112" s="1789"/>
      <c r="P112" s="1789"/>
      <c r="Q112" s="1789"/>
      <c r="R112" s="1789"/>
      <c r="S112" s="1837"/>
    </row>
    <row r="113" spans="2:19" ht="15">
      <c r="B113" s="203" t="s">
        <v>124</v>
      </c>
      <c r="C113" s="204" t="s">
        <v>169</v>
      </c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205"/>
      <c r="O113" s="206"/>
      <c r="P113" s="206"/>
      <c r="Q113" s="206"/>
      <c r="R113" s="206"/>
      <c r="S113" s="207"/>
    </row>
    <row r="114" spans="2:19" ht="15">
      <c r="B114" s="203"/>
      <c r="C114" s="204" t="s">
        <v>170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205"/>
      <c r="O114" s="206"/>
      <c r="P114" s="206"/>
      <c r="Q114" s="206"/>
      <c r="R114" s="206"/>
      <c r="S114" s="207"/>
    </row>
    <row r="115" spans="2:19" ht="15">
      <c r="B115" s="203"/>
      <c r="C115" s="204" t="s">
        <v>171</v>
      </c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205"/>
      <c r="O115" s="206"/>
      <c r="P115" s="206"/>
      <c r="Q115" s="206"/>
      <c r="R115" s="206"/>
      <c r="S115" s="207"/>
    </row>
    <row r="116" spans="2:19" ht="15">
      <c r="B116" s="203"/>
      <c r="C116" s="204" t="s">
        <v>173</v>
      </c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205"/>
      <c r="O116" s="206"/>
      <c r="P116" s="206"/>
      <c r="Q116" s="206"/>
      <c r="R116" s="206"/>
      <c r="S116" s="207"/>
    </row>
    <row r="117" spans="2:19" ht="15">
      <c r="B117" s="203" t="s">
        <v>174</v>
      </c>
      <c r="C117" s="204" t="s">
        <v>175</v>
      </c>
      <c r="D117" s="190">
        <v>0.12</v>
      </c>
      <c r="E117" s="213"/>
      <c r="F117" s="213"/>
      <c r="G117" s="213">
        <v>0.12</v>
      </c>
      <c r="H117" s="213">
        <v>0</v>
      </c>
      <c r="I117" s="213">
        <f>SUM(J117:M117)</f>
        <v>0.036923076923076927</v>
      </c>
      <c r="J117" s="213"/>
      <c r="K117" s="213"/>
      <c r="L117" s="213">
        <v>0.036923076923076927</v>
      </c>
      <c r="M117" s="213"/>
      <c r="N117" s="205">
        <f>D117/I117*1000</f>
        <v>3249.9999999999995</v>
      </c>
      <c r="O117" s="206"/>
      <c r="P117" s="206"/>
      <c r="Q117" s="206"/>
      <c r="R117" s="206"/>
      <c r="S117" s="207"/>
    </row>
    <row r="118" spans="2:19" ht="15">
      <c r="B118" s="203" t="s">
        <v>176</v>
      </c>
      <c r="C118" s="204" t="s">
        <v>1596</v>
      </c>
      <c r="D118" s="190">
        <v>19.733999999999998</v>
      </c>
      <c r="E118" s="213"/>
      <c r="F118" s="213"/>
      <c r="G118" s="213">
        <v>19.526999999999997</v>
      </c>
      <c r="H118" s="213">
        <v>0.207</v>
      </c>
      <c r="I118" s="213">
        <f>SUM(J118:M118)</f>
        <v>5.103076923076923</v>
      </c>
      <c r="J118" s="213"/>
      <c r="K118" s="213"/>
      <c r="L118" s="213">
        <v>5.049548144163529</v>
      </c>
      <c r="M118" s="213">
        <v>0.053528778913394304</v>
      </c>
      <c r="N118" s="205">
        <f>D118/I118*1000</f>
        <v>3867.07868555924</v>
      </c>
      <c r="O118" s="206"/>
      <c r="P118" s="206"/>
      <c r="Q118" s="206"/>
      <c r="R118" s="206"/>
      <c r="S118" s="207"/>
    </row>
    <row r="119" spans="2:19" ht="15.75" thickBot="1">
      <c r="B119" s="203" t="s">
        <v>177</v>
      </c>
      <c r="C119" s="225" t="s">
        <v>186</v>
      </c>
      <c r="D119" s="208"/>
      <c r="E119" s="273"/>
      <c r="F119" s="273"/>
      <c r="G119" s="273"/>
      <c r="H119" s="273"/>
      <c r="I119" s="273"/>
      <c r="J119" s="273"/>
      <c r="K119" s="273"/>
      <c r="L119" s="273"/>
      <c r="M119" s="273"/>
      <c r="N119" s="205"/>
      <c r="O119" s="206"/>
      <c r="P119" s="206"/>
      <c r="Q119" s="206"/>
      <c r="R119" s="206"/>
      <c r="S119" s="207"/>
    </row>
    <row r="120" spans="2:19" ht="15.75" thickBot="1">
      <c r="B120" s="269" t="s">
        <v>178</v>
      </c>
      <c r="C120" s="271" t="s">
        <v>179</v>
      </c>
      <c r="D120" s="238">
        <f aca="true" t="shared" si="0" ref="D120:M120">D113+D117+D118</f>
        <v>19.854</v>
      </c>
      <c r="E120" s="238">
        <f t="shared" si="0"/>
        <v>0</v>
      </c>
      <c r="F120" s="238">
        <f t="shared" si="0"/>
        <v>0</v>
      </c>
      <c r="G120" s="238">
        <f t="shared" si="0"/>
        <v>19.647</v>
      </c>
      <c r="H120" s="238">
        <f t="shared" si="0"/>
        <v>0.207</v>
      </c>
      <c r="I120" s="272">
        <f t="shared" si="0"/>
        <v>5.14</v>
      </c>
      <c r="J120" s="272">
        <f t="shared" si="0"/>
        <v>0</v>
      </c>
      <c r="K120" s="272">
        <f t="shared" si="0"/>
        <v>0</v>
      </c>
      <c r="L120" s="272">
        <f t="shared" si="0"/>
        <v>5.086471221086605</v>
      </c>
      <c r="M120" s="272">
        <f t="shared" si="0"/>
        <v>0.053528778913394304</v>
      </c>
      <c r="N120" s="412">
        <f>19854/5140*1000</f>
        <v>3862.6459143968873</v>
      </c>
      <c r="O120" s="270"/>
      <c r="P120" s="206"/>
      <c r="Q120" s="206"/>
      <c r="R120" s="206"/>
      <c r="S120" s="207"/>
    </row>
    <row r="121" spans="2:19" ht="15">
      <c r="B121" s="1838" t="s">
        <v>1261</v>
      </c>
      <c r="C121" s="1839"/>
      <c r="D121" s="1839"/>
      <c r="E121" s="1839"/>
      <c r="F121" s="1839"/>
      <c r="G121" s="1839"/>
      <c r="H121" s="1839"/>
      <c r="I121" s="1839"/>
      <c r="J121" s="1839"/>
      <c r="K121" s="1839"/>
      <c r="L121" s="1839"/>
      <c r="M121" s="1839"/>
      <c r="N121" s="1839"/>
      <c r="O121" s="1840"/>
      <c r="P121" s="1840"/>
      <c r="Q121" s="1840"/>
      <c r="R121" s="1840"/>
      <c r="S121" s="1841"/>
    </row>
    <row r="122" spans="2:19" ht="15">
      <c r="B122" s="203" t="s">
        <v>124</v>
      </c>
      <c r="C122" s="211" t="s">
        <v>169</v>
      </c>
      <c r="D122" s="213"/>
      <c r="E122" s="206"/>
      <c r="F122" s="206"/>
      <c r="G122" s="206"/>
      <c r="H122" s="206"/>
      <c r="I122" s="213"/>
      <c r="J122" s="213"/>
      <c r="K122" s="213"/>
      <c r="L122" s="213"/>
      <c r="M122" s="213"/>
      <c r="N122" s="270"/>
      <c r="O122" s="190"/>
      <c r="P122" s="190"/>
      <c r="Q122" s="190"/>
      <c r="R122" s="190"/>
      <c r="S122" s="214"/>
    </row>
    <row r="123" spans="2:19" ht="15">
      <c r="B123" s="203"/>
      <c r="C123" s="211" t="s">
        <v>170</v>
      </c>
      <c r="D123" s="213"/>
      <c r="E123" s="206"/>
      <c r="F123" s="206"/>
      <c r="G123" s="206"/>
      <c r="H123" s="206"/>
      <c r="I123" s="213"/>
      <c r="J123" s="213"/>
      <c r="K123" s="213"/>
      <c r="L123" s="213"/>
      <c r="M123" s="213"/>
      <c r="N123" s="206"/>
      <c r="O123" s="190"/>
      <c r="P123" s="190"/>
      <c r="Q123" s="190"/>
      <c r="R123" s="190"/>
      <c r="S123" s="214"/>
    </row>
    <row r="124" spans="2:19" ht="15">
      <c r="B124" s="203"/>
      <c r="C124" s="211" t="s">
        <v>171</v>
      </c>
      <c r="D124" s="213"/>
      <c r="E124" s="206"/>
      <c r="F124" s="206"/>
      <c r="G124" s="206"/>
      <c r="H124" s="206"/>
      <c r="I124" s="213"/>
      <c r="J124" s="213"/>
      <c r="K124" s="213"/>
      <c r="L124" s="213"/>
      <c r="M124" s="213"/>
      <c r="N124" s="206"/>
      <c r="O124" s="190"/>
      <c r="P124" s="190"/>
      <c r="Q124" s="190"/>
      <c r="R124" s="190"/>
      <c r="S124" s="214"/>
    </row>
    <row r="125" spans="2:19" ht="15">
      <c r="B125" s="203"/>
      <c r="C125" s="265" t="s">
        <v>180</v>
      </c>
      <c r="D125" s="212"/>
      <c r="E125" s="206"/>
      <c r="F125" s="206"/>
      <c r="G125" s="206"/>
      <c r="H125" s="206"/>
      <c r="I125" s="213"/>
      <c r="J125" s="213"/>
      <c r="K125" s="213"/>
      <c r="L125" s="213"/>
      <c r="M125" s="213"/>
      <c r="N125" s="206"/>
      <c r="O125" s="270"/>
      <c r="P125" s="190"/>
      <c r="Q125" s="190"/>
      <c r="R125" s="190"/>
      <c r="S125" s="214"/>
    </row>
    <row r="126" spans="2:19" ht="15">
      <c r="B126" s="203" t="s">
        <v>174</v>
      </c>
      <c r="C126" s="265" t="s">
        <v>175</v>
      </c>
      <c r="D126" s="213">
        <f>SUM(E126:H126)</f>
        <v>0.02</v>
      </c>
      <c r="E126" s="213"/>
      <c r="F126" s="213"/>
      <c r="G126" s="213"/>
      <c r="H126" s="213">
        <v>0.02</v>
      </c>
      <c r="I126" s="213">
        <f>SUM(J126:M126)</f>
        <v>0.03</v>
      </c>
      <c r="J126" s="213"/>
      <c r="K126" s="213"/>
      <c r="L126" s="213"/>
      <c r="M126" s="213">
        <v>0.03</v>
      </c>
      <c r="N126" s="270">
        <v>3250</v>
      </c>
      <c r="O126" s="209"/>
      <c r="P126" s="190"/>
      <c r="Q126" s="190"/>
      <c r="R126" s="190"/>
      <c r="S126" s="214"/>
    </row>
    <row r="127" spans="2:19" ht="15">
      <c r="B127" s="203" t="s">
        <v>176</v>
      </c>
      <c r="C127" s="266" t="s">
        <v>1596</v>
      </c>
      <c r="D127" s="213">
        <f>24.54+0.19</f>
        <v>24.73</v>
      </c>
      <c r="E127" s="213"/>
      <c r="F127" s="213"/>
      <c r="G127" s="213">
        <v>24.54</v>
      </c>
      <c r="H127" s="213">
        <f>0.19</f>
        <v>0.19</v>
      </c>
      <c r="I127" s="213">
        <f>SUM(J127:M127)</f>
        <v>6.470000000000001</v>
      </c>
      <c r="J127" s="213"/>
      <c r="K127" s="213"/>
      <c r="L127" s="213">
        <v>6.19</v>
      </c>
      <c r="M127" s="213">
        <v>0.28</v>
      </c>
      <c r="N127" s="270">
        <v>4936.7</v>
      </c>
      <c r="O127" s="209"/>
      <c r="P127" s="190"/>
      <c r="Q127" s="190"/>
      <c r="R127" s="190"/>
      <c r="S127" s="214"/>
    </row>
    <row r="128" spans="2:19" ht="15.75" thickBot="1">
      <c r="B128" s="413" t="s">
        <v>177</v>
      </c>
      <c r="C128" s="268" t="s">
        <v>186</v>
      </c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579"/>
      <c r="O128" s="581"/>
      <c r="P128" s="582"/>
      <c r="Q128" s="582"/>
      <c r="R128" s="582"/>
      <c r="S128" s="583"/>
    </row>
    <row r="129" spans="2:19" ht="16.5" thickBot="1">
      <c r="B129" s="215" t="s">
        <v>178</v>
      </c>
      <c r="C129" s="267" t="s">
        <v>179</v>
      </c>
      <c r="D129" s="804">
        <v>24.92</v>
      </c>
      <c r="E129" s="274"/>
      <c r="F129" s="274"/>
      <c r="G129" s="274">
        <v>24.71</v>
      </c>
      <c r="H129" s="274">
        <f>H122+H126+H127</f>
        <v>0.21</v>
      </c>
      <c r="I129" s="805">
        <f>I122+I126+I127</f>
        <v>6.500000000000001</v>
      </c>
      <c r="J129" s="274"/>
      <c r="K129" s="274"/>
      <c r="L129" s="274">
        <f>L122+L126+L127</f>
        <v>6.19</v>
      </c>
      <c r="M129" s="411">
        <f>M122+M126+M127</f>
        <v>0.31000000000000005</v>
      </c>
      <c r="N129" s="580">
        <f>D129/I129*1000</f>
        <v>3833.8461538461534</v>
      </c>
      <c r="O129" s="216"/>
      <c r="P129" s="216"/>
      <c r="Q129" s="216"/>
      <c r="R129" s="216"/>
      <c r="S129" s="216"/>
    </row>
    <row r="130" spans="2:19" ht="15.75" thickBot="1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</row>
    <row r="131" spans="2:19" ht="15">
      <c r="B131" s="1842" t="s">
        <v>2530</v>
      </c>
      <c r="C131" s="1843"/>
      <c r="D131" s="1843"/>
      <c r="E131" s="1843"/>
      <c r="F131" s="1843"/>
      <c r="G131" s="1843"/>
      <c r="H131" s="1843"/>
      <c r="I131" s="1843"/>
      <c r="J131" s="1843"/>
      <c r="K131" s="1843"/>
      <c r="L131" s="1843"/>
      <c r="M131" s="1843"/>
      <c r="N131" s="1843"/>
      <c r="O131" s="1843"/>
      <c r="P131" s="1843"/>
      <c r="Q131" s="1843"/>
      <c r="R131" s="1843"/>
      <c r="S131" s="1844"/>
    </row>
    <row r="132" spans="2:19" ht="12.75" customHeight="1">
      <c r="B132" s="218"/>
      <c r="C132" s="210"/>
      <c r="D132" s="198" t="s">
        <v>1564</v>
      </c>
      <c r="E132" s="198" t="s">
        <v>1560</v>
      </c>
      <c r="F132" s="198" t="s">
        <v>1561</v>
      </c>
      <c r="G132" s="198" t="s">
        <v>1562</v>
      </c>
      <c r="H132" s="198" t="s">
        <v>165</v>
      </c>
      <c r="I132" s="198" t="s">
        <v>1564</v>
      </c>
      <c r="J132" s="198" t="s">
        <v>166</v>
      </c>
      <c r="K132" s="198" t="s">
        <v>1561</v>
      </c>
      <c r="L132" s="198" t="s">
        <v>1562</v>
      </c>
      <c r="M132" s="198" t="s">
        <v>1563</v>
      </c>
      <c r="N132" s="198" t="s">
        <v>183</v>
      </c>
      <c r="O132" s="198" t="s">
        <v>1564</v>
      </c>
      <c r="P132" s="198" t="s">
        <v>1560</v>
      </c>
      <c r="Q132" s="198" t="s">
        <v>167</v>
      </c>
      <c r="R132" s="198" t="s">
        <v>1562</v>
      </c>
      <c r="S132" s="202" t="s">
        <v>168</v>
      </c>
    </row>
    <row r="133" spans="2:19" ht="15.75">
      <c r="B133" s="219" t="s">
        <v>124</v>
      </c>
      <c r="C133" s="220" t="s">
        <v>169</v>
      </c>
      <c r="D133" s="212"/>
      <c r="E133" s="213"/>
      <c r="F133" s="213"/>
      <c r="G133" s="213"/>
      <c r="H133" s="206"/>
      <c r="I133" s="213"/>
      <c r="J133" s="213"/>
      <c r="K133" s="213"/>
      <c r="L133" s="213"/>
      <c r="M133" s="213"/>
      <c r="N133" s="206"/>
      <c r="O133" s="221"/>
      <c r="P133" s="221"/>
      <c r="Q133" s="221"/>
      <c r="R133" s="221"/>
      <c r="S133" s="222"/>
    </row>
    <row r="134" spans="2:19" ht="15">
      <c r="B134" s="203"/>
      <c r="C134" s="211" t="s">
        <v>170</v>
      </c>
      <c r="D134" s="212"/>
      <c r="E134" s="213"/>
      <c r="F134" s="213"/>
      <c r="G134" s="213"/>
      <c r="H134" s="206"/>
      <c r="I134" s="213"/>
      <c r="J134" s="213"/>
      <c r="K134" s="213"/>
      <c r="L134" s="213"/>
      <c r="M134" s="213"/>
      <c r="N134" s="206"/>
      <c r="O134" s="221"/>
      <c r="P134" s="221"/>
      <c r="Q134" s="221"/>
      <c r="R134" s="221"/>
      <c r="S134" s="222"/>
    </row>
    <row r="135" spans="2:19" ht="15">
      <c r="B135" s="203"/>
      <c r="C135" s="211" t="s">
        <v>171</v>
      </c>
      <c r="D135" s="212"/>
      <c r="E135" s="213"/>
      <c r="F135" s="213"/>
      <c r="G135" s="213"/>
      <c r="H135" s="206"/>
      <c r="I135" s="213"/>
      <c r="J135" s="213"/>
      <c r="K135" s="213"/>
      <c r="L135" s="213"/>
      <c r="M135" s="213"/>
      <c r="N135" s="206"/>
      <c r="O135" s="221"/>
      <c r="P135" s="221"/>
      <c r="Q135" s="221"/>
      <c r="R135" s="221"/>
      <c r="S135" s="222"/>
    </row>
    <row r="136" spans="2:19" ht="15">
      <c r="B136" s="203"/>
      <c r="C136" s="211" t="s">
        <v>180</v>
      </c>
      <c r="D136" s="212"/>
      <c r="E136" s="213"/>
      <c r="F136" s="213"/>
      <c r="G136" s="213"/>
      <c r="H136" s="206"/>
      <c r="I136" s="213"/>
      <c r="J136" s="213"/>
      <c r="K136" s="213"/>
      <c r="L136" s="213"/>
      <c r="M136" s="213"/>
      <c r="N136" s="243"/>
      <c r="O136" s="221"/>
      <c r="P136" s="221"/>
      <c r="Q136" s="221"/>
      <c r="R136" s="221"/>
      <c r="S136" s="222"/>
    </row>
    <row r="137" spans="2:19" ht="15.75">
      <c r="B137" s="219" t="s">
        <v>174</v>
      </c>
      <c r="C137" s="220" t="s">
        <v>175</v>
      </c>
      <c r="D137" s="776">
        <f>SUM(E137:H137)</f>
        <v>0.11</v>
      </c>
      <c r="E137" s="776"/>
      <c r="F137" s="776"/>
      <c r="G137" s="776">
        <f>J156/1000</f>
        <v>0.11</v>
      </c>
      <c r="H137" s="776"/>
      <c r="I137" s="776">
        <f>SUM(J137:M137)</f>
        <v>0.033846153846153845</v>
      </c>
      <c r="J137" s="776"/>
      <c r="K137" s="776"/>
      <c r="L137" s="776">
        <f>G137*1000/3250</f>
        <v>0.033846153846153845</v>
      </c>
      <c r="M137" s="776"/>
      <c r="N137" s="957">
        <f>N126</f>
        <v>3250</v>
      </c>
      <c r="O137" s="242"/>
      <c r="P137" s="221"/>
      <c r="Q137" s="221"/>
      <c r="R137" s="221"/>
      <c r="S137" s="222"/>
    </row>
    <row r="138" spans="2:19" ht="18" customHeight="1">
      <c r="B138" s="219" t="s">
        <v>176</v>
      </c>
      <c r="C138" s="223" t="s">
        <v>1596</v>
      </c>
      <c r="D138" s="213">
        <f>SUM(E138:H138)</f>
        <v>26.000000000000004</v>
      </c>
      <c r="E138" s="213"/>
      <c r="F138" s="213"/>
      <c r="G138" s="213">
        <f>G140-G137</f>
        <v>25.693000000000005</v>
      </c>
      <c r="H138" s="213">
        <f>I196/1000</f>
        <v>0.307</v>
      </c>
      <c r="I138" s="213">
        <f>I140-I137</f>
        <v>6.555541938551973</v>
      </c>
      <c r="J138" s="213"/>
      <c r="K138" s="213"/>
      <c r="L138" s="213">
        <f>G138/N138*1000</f>
        <v>6.478136116431379</v>
      </c>
      <c r="M138" s="213">
        <f>H138/S143</f>
        <v>0.07938809239812585</v>
      </c>
      <c r="N138" s="243">
        <f>D138/I138*1000</f>
        <v>3966.1099331999753</v>
      </c>
      <c r="O138" s="242"/>
      <c r="P138" s="221"/>
      <c r="Q138" s="221"/>
      <c r="R138" s="221"/>
      <c r="S138" s="222"/>
    </row>
    <row r="139" spans="2:19" ht="15.75" thickBot="1">
      <c r="B139" s="224" t="s">
        <v>177</v>
      </c>
      <c r="C139" s="225" t="s">
        <v>186</v>
      </c>
      <c r="D139" s="273"/>
      <c r="E139" s="273"/>
      <c r="F139" s="273"/>
      <c r="G139" s="273"/>
      <c r="H139" s="273"/>
      <c r="I139" s="213"/>
      <c r="J139" s="273"/>
      <c r="K139" s="273"/>
      <c r="L139" s="273"/>
      <c r="M139" s="273"/>
      <c r="N139" s="243"/>
      <c r="O139" s="244"/>
      <c r="P139" s="226"/>
      <c r="Q139" s="226"/>
      <c r="R139" s="226"/>
      <c r="S139" s="227"/>
    </row>
    <row r="140" spans="2:19" ht="16.5" thickBot="1">
      <c r="B140" s="228" t="s">
        <v>178</v>
      </c>
      <c r="C140" s="229" t="s">
        <v>179</v>
      </c>
      <c r="D140" s="804">
        <f>D133+D137+D138</f>
        <v>26.110000000000003</v>
      </c>
      <c r="E140" s="274"/>
      <c r="F140" s="274"/>
      <c r="G140" s="274">
        <f>N64-H140</f>
        <v>25.803000000000004</v>
      </c>
      <c r="H140" s="274">
        <f>H133+H137+H138</f>
        <v>0.307</v>
      </c>
      <c r="I140" s="805">
        <f>SUM(J140:M140)</f>
        <v>6.589388092398127</v>
      </c>
      <c r="J140" s="274"/>
      <c r="K140" s="274"/>
      <c r="L140" s="274">
        <f>Q98</f>
        <v>6.510000000000001</v>
      </c>
      <c r="M140" s="411">
        <f>M138</f>
        <v>0.07938809239812585</v>
      </c>
      <c r="N140" s="412">
        <f>19854/5140*1000</f>
        <v>3862.6459143968873</v>
      </c>
      <c r="O140" s="230"/>
      <c r="P140" s="230"/>
      <c r="Q140" s="230"/>
      <c r="R140" s="230"/>
      <c r="S140" s="230"/>
    </row>
    <row r="141" ht="12.75">
      <c r="C141" s="168"/>
    </row>
    <row r="142" spans="4:15" ht="12.75" customHeight="1">
      <c r="D142" s="1845">
        <v>2008</v>
      </c>
      <c r="E142" s="1845"/>
      <c r="F142" s="1845"/>
      <c r="G142" s="1845"/>
      <c r="H142" s="1845">
        <v>2010</v>
      </c>
      <c r="I142" s="1845"/>
      <c r="J142" s="1845"/>
      <c r="K142" s="1845"/>
      <c r="L142" s="1845">
        <v>2011</v>
      </c>
      <c r="M142" s="1845"/>
      <c r="N142" s="1845"/>
      <c r="O142" s="1845"/>
    </row>
    <row r="143" spans="3:35" ht="13.5" customHeight="1" thickBot="1">
      <c r="C143" s="66"/>
      <c r="D143" s="1836" t="s">
        <v>2529</v>
      </c>
      <c r="E143" s="1836"/>
      <c r="F143" s="1836" t="s">
        <v>2517</v>
      </c>
      <c r="G143" s="1836"/>
      <c r="H143" s="1836" t="s">
        <v>2529</v>
      </c>
      <c r="I143" s="1836"/>
      <c r="J143" s="1836" t="s">
        <v>2517</v>
      </c>
      <c r="K143" s="1836"/>
      <c r="L143" s="1836" t="s">
        <v>2529</v>
      </c>
      <c r="M143" s="1836"/>
      <c r="N143" s="1836" t="s">
        <v>2517</v>
      </c>
      <c r="O143" s="1836"/>
      <c r="S143" s="996">
        <f>H118/M118</f>
        <v>3.86707868555924</v>
      </c>
      <c r="T143" s="462"/>
      <c r="W143" s="1767">
        <v>2013</v>
      </c>
      <c r="X143" s="1767"/>
      <c r="Y143" s="25">
        <v>2015</v>
      </c>
      <c r="AD143" s="66"/>
      <c r="AE143" s="66" t="s">
        <v>581</v>
      </c>
      <c r="AF143" s="66"/>
      <c r="AG143" s="66" t="s">
        <v>580</v>
      </c>
      <c r="AH143" s="66" t="s">
        <v>582</v>
      </c>
      <c r="AI143" s="66" t="s">
        <v>583</v>
      </c>
    </row>
    <row r="144" spans="3:35" ht="15" customHeight="1">
      <c r="C144" s="66"/>
      <c r="D144" s="1097" t="s">
        <v>2505</v>
      </c>
      <c r="E144" s="1097" t="s">
        <v>2506</v>
      </c>
      <c r="F144" s="1097" t="s">
        <v>2505</v>
      </c>
      <c r="G144" s="1097" t="s">
        <v>2506</v>
      </c>
      <c r="H144" s="806" t="s">
        <v>2505</v>
      </c>
      <c r="I144" s="806" t="s">
        <v>2506</v>
      </c>
      <c r="J144" s="806" t="s">
        <v>2505</v>
      </c>
      <c r="K144" s="806" t="s">
        <v>2506</v>
      </c>
      <c r="L144" s="964" t="s">
        <v>2505</v>
      </c>
      <c r="M144" s="964" t="s">
        <v>2506</v>
      </c>
      <c r="N144" s="964" t="s">
        <v>2505</v>
      </c>
      <c r="O144" s="964" t="s">
        <v>2506</v>
      </c>
      <c r="T144" s="1848" t="s">
        <v>2411</v>
      </c>
      <c r="U144" s="1849"/>
      <c r="W144" s="1766" t="s">
        <v>2411</v>
      </c>
      <c r="X144" s="1766"/>
      <c r="AD144" s="66" t="s">
        <v>576</v>
      </c>
      <c r="AE144" s="66" t="s">
        <v>577</v>
      </c>
      <c r="AF144" s="66" t="s">
        <v>578</v>
      </c>
      <c r="AG144" s="66" t="s">
        <v>579</v>
      </c>
      <c r="AH144" s="66">
        <v>2</v>
      </c>
      <c r="AI144" s="66">
        <v>1</v>
      </c>
    </row>
    <row r="145" spans="1:35" ht="12.75">
      <c r="A145">
        <v>1</v>
      </c>
      <c r="C145" s="1100" t="s">
        <v>2507</v>
      </c>
      <c r="D145" s="66">
        <v>800</v>
      </c>
      <c r="E145" s="66"/>
      <c r="F145" s="66"/>
      <c r="G145" s="66"/>
      <c r="H145" s="66">
        <v>800</v>
      </c>
      <c r="I145" s="66"/>
      <c r="J145" s="66"/>
      <c r="K145" s="66"/>
      <c r="L145" s="66"/>
      <c r="M145" s="66"/>
      <c r="N145" s="66"/>
      <c r="O145" s="66"/>
      <c r="T145" s="968" t="s">
        <v>2408</v>
      </c>
      <c r="U145" s="969">
        <v>1000</v>
      </c>
      <c r="W145" s="1332" t="s">
        <v>2408</v>
      </c>
      <c r="X145" s="1333">
        <v>1000</v>
      </c>
      <c r="Y145">
        <v>1000</v>
      </c>
      <c r="AD145" s="66" t="s">
        <v>576</v>
      </c>
      <c r="AE145" s="66" t="s">
        <v>577</v>
      </c>
      <c r="AF145" s="66" t="s">
        <v>584</v>
      </c>
      <c r="AG145" s="66">
        <v>0</v>
      </c>
      <c r="AH145" s="66">
        <v>2</v>
      </c>
      <c r="AI145" s="66">
        <v>2</v>
      </c>
    </row>
    <row r="146" spans="1:35" ht="12.75">
      <c r="A146">
        <v>2</v>
      </c>
      <c r="C146" s="1100" t="s">
        <v>2508</v>
      </c>
      <c r="D146" s="66">
        <v>150</v>
      </c>
      <c r="E146" s="66"/>
      <c r="F146" s="66"/>
      <c r="G146" s="66"/>
      <c r="H146" s="66">
        <v>150</v>
      </c>
      <c r="I146" s="66"/>
      <c r="J146" s="66"/>
      <c r="K146" s="66"/>
      <c r="L146" s="66"/>
      <c r="M146" s="66"/>
      <c r="N146" s="66"/>
      <c r="O146" s="66"/>
      <c r="T146" s="968" t="s">
        <v>2408</v>
      </c>
      <c r="U146" s="969">
        <v>910</v>
      </c>
      <c r="W146" s="1332"/>
      <c r="X146" s="1333">
        <v>910</v>
      </c>
      <c r="Y146">
        <v>910</v>
      </c>
      <c r="AD146" s="66" t="s">
        <v>576</v>
      </c>
      <c r="AE146" s="66" t="s">
        <v>577</v>
      </c>
      <c r="AF146" s="66" t="s">
        <v>585</v>
      </c>
      <c r="AG146" s="66">
        <v>0</v>
      </c>
      <c r="AH146" s="66">
        <v>2</v>
      </c>
      <c r="AI146" s="66">
        <v>2</v>
      </c>
    </row>
    <row r="147" spans="1:35" ht="12.75">
      <c r="A147">
        <v>3</v>
      </c>
      <c r="C147" s="1100" t="s">
        <v>2509</v>
      </c>
      <c r="D147" s="66">
        <v>300</v>
      </c>
      <c r="E147" s="66"/>
      <c r="F147" s="66"/>
      <c r="G147" s="66"/>
      <c r="H147" s="66">
        <v>300</v>
      </c>
      <c r="I147" s="66"/>
      <c r="J147" s="66"/>
      <c r="K147" s="66"/>
      <c r="L147" s="66"/>
      <c r="M147" s="66"/>
      <c r="N147" s="66"/>
      <c r="O147" s="66"/>
      <c r="T147" s="968" t="s">
        <v>2409</v>
      </c>
      <c r="U147" s="969">
        <v>990</v>
      </c>
      <c r="W147" s="1332" t="s">
        <v>2409</v>
      </c>
      <c r="X147" s="1333">
        <v>990</v>
      </c>
      <c r="Y147">
        <v>990</v>
      </c>
      <c r="AD147" s="66" t="s">
        <v>576</v>
      </c>
      <c r="AE147" s="66" t="s">
        <v>577</v>
      </c>
      <c r="AF147" s="66" t="s">
        <v>604</v>
      </c>
      <c r="AG147" s="66"/>
      <c r="AH147" s="66">
        <v>1</v>
      </c>
      <c r="AI147" s="66"/>
    </row>
    <row r="148" spans="1:35" ht="12.75">
      <c r="A148">
        <v>4</v>
      </c>
      <c r="C148" s="1100" t="s">
        <v>2510</v>
      </c>
      <c r="D148" s="66">
        <v>1330</v>
      </c>
      <c r="E148" s="66"/>
      <c r="F148" s="66"/>
      <c r="G148" s="66"/>
      <c r="H148" s="66">
        <v>1330</v>
      </c>
      <c r="I148" s="66"/>
      <c r="J148" s="66"/>
      <c r="K148" s="66"/>
      <c r="L148" s="66"/>
      <c r="M148" s="66"/>
      <c r="N148" s="66"/>
      <c r="O148" s="66"/>
      <c r="T148" s="968" t="s">
        <v>2410</v>
      </c>
      <c r="U148" s="969">
        <v>975</v>
      </c>
      <c r="W148" s="1332" t="s">
        <v>2410</v>
      </c>
      <c r="X148" s="1333">
        <v>1255</v>
      </c>
      <c r="Y148">
        <v>1255</v>
      </c>
      <c r="AD148" s="66" t="s">
        <v>576</v>
      </c>
      <c r="AE148" s="66" t="s">
        <v>577</v>
      </c>
      <c r="AF148" s="66" t="s">
        <v>603</v>
      </c>
      <c r="AG148" s="66"/>
      <c r="AH148" s="66">
        <v>2</v>
      </c>
      <c r="AI148" s="66">
        <v>2</v>
      </c>
    </row>
    <row r="149" spans="1:35" ht="12.75">
      <c r="A149">
        <v>5</v>
      </c>
      <c r="C149" s="1101" t="s">
        <v>2511</v>
      </c>
      <c r="D149" s="66">
        <v>2500</v>
      </c>
      <c r="E149" s="66"/>
      <c r="F149" s="66"/>
      <c r="G149" s="66"/>
      <c r="H149" s="66">
        <v>2500</v>
      </c>
      <c r="I149" s="66"/>
      <c r="J149" s="66"/>
      <c r="K149" s="66"/>
      <c r="L149" s="66"/>
      <c r="M149" s="66"/>
      <c r="N149" s="66"/>
      <c r="O149" s="66"/>
      <c r="T149" s="968" t="s">
        <v>2410</v>
      </c>
      <c r="U149" s="969">
        <v>975</v>
      </c>
      <c r="W149" s="1332"/>
      <c r="X149" s="1333">
        <v>1277</v>
      </c>
      <c r="Y149">
        <v>1277</v>
      </c>
      <c r="AD149" s="66" t="s">
        <v>576</v>
      </c>
      <c r="AE149" s="66" t="s">
        <v>577</v>
      </c>
      <c r="AF149" s="66" t="s">
        <v>610</v>
      </c>
      <c r="AG149" s="66"/>
      <c r="AH149" s="66">
        <v>1</v>
      </c>
      <c r="AI149" s="66">
        <v>1</v>
      </c>
    </row>
    <row r="150" spans="1:35" ht="12.75">
      <c r="A150">
        <v>6</v>
      </c>
      <c r="C150" s="1100" t="s">
        <v>2531</v>
      </c>
      <c r="D150" s="66">
        <v>2000</v>
      </c>
      <c r="E150" s="66"/>
      <c r="F150" s="66"/>
      <c r="G150" s="66"/>
      <c r="H150" s="66">
        <v>2000</v>
      </c>
      <c r="I150" s="66"/>
      <c r="J150" s="66"/>
      <c r="K150" s="66"/>
      <c r="L150" s="66"/>
      <c r="M150" s="66"/>
      <c r="N150" s="66"/>
      <c r="O150" s="66"/>
      <c r="T150" s="1850" t="s">
        <v>2412</v>
      </c>
      <c r="U150" s="969">
        <v>320</v>
      </c>
      <c r="W150" s="1334" t="s">
        <v>378</v>
      </c>
      <c r="X150" s="1335">
        <v>25</v>
      </c>
      <c r="Y150">
        <v>25</v>
      </c>
      <c r="AD150" s="564" t="s">
        <v>576</v>
      </c>
      <c r="AE150" s="564" t="s">
        <v>586</v>
      </c>
      <c r="AF150" s="564" t="s">
        <v>587</v>
      </c>
      <c r="AG150" s="66">
        <v>0</v>
      </c>
      <c r="AH150" s="564">
        <v>1</v>
      </c>
      <c r="AI150" s="66"/>
    </row>
    <row r="151" spans="1:35" ht="12.75">
      <c r="A151">
        <v>7</v>
      </c>
      <c r="C151" s="1102" t="s">
        <v>2512</v>
      </c>
      <c r="D151" s="564">
        <v>150</v>
      </c>
      <c r="E151" s="564">
        <v>50</v>
      </c>
      <c r="F151" s="66"/>
      <c r="G151" s="66"/>
      <c r="H151" s="564">
        <v>150</v>
      </c>
      <c r="I151" s="564">
        <v>50</v>
      </c>
      <c r="J151" s="66"/>
      <c r="K151" s="66"/>
      <c r="L151" s="564"/>
      <c r="M151" s="564"/>
      <c r="N151" s="66"/>
      <c r="O151" s="66"/>
      <c r="T151" s="1851"/>
      <c r="U151" s="969">
        <v>315</v>
      </c>
      <c r="W151" s="1334"/>
      <c r="X151" s="1335">
        <v>25</v>
      </c>
      <c r="Y151">
        <v>25</v>
      </c>
      <c r="AD151" s="564" t="s">
        <v>576</v>
      </c>
      <c r="AE151" s="564" t="s">
        <v>586</v>
      </c>
      <c r="AF151" s="564" t="s">
        <v>1437</v>
      </c>
      <c r="AG151" s="66">
        <v>0</v>
      </c>
      <c r="AH151" s="564">
        <v>1</v>
      </c>
      <c r="AI151" s="66"/>
    </row>
    <row r="152" spans="1:35" ht="12.75">
      <c r="A152">
        <v>8</v>
      </c>
      <c r="C152" s="1100" t="s">
        <v>2513</v>
      </c>
      <c r="D152" s="66">
        <v>100</v>
      </c>
      <c r="E152" s="66"/>
      <c r="F152" s="66"/>
      <c r="G152" s="66"/>
      <c r="H152" s="66">
        <v>100</v>
      </c>
      <c r="I152" s="66"/>
      <c r="J152" s="66"/>
      <c r="K152" s="66"/>
      <c r="L152" s="66"/>
      <c r="M152" s="66"/>
      <c r="N152" s="66"/>
      <c r="O152" s="66"/>
      <c r="T152" s="1852" t="s">
        <v>2413</v>
      </c>
      <c r="U152" s="970">
        <v>200</v>
      </c>
      <c r="W152" s="1334" t="s">
        <v>379</v>
      </c>
      <c r="X152" s="1335">
        <v>315</v>
      </c>
      <c r="Y152">
        <v>315</v>
      </c>
      <c r="AD152" s="564" t="s">
        <v>576</v>
      </c>
      <c r="AE152" s="564" t="s">
        <v>586</v>
      </c>
      <c r="AF152" s="564" t="s">
        <v>597</v>
      </c>
      <c r="AG152" s="66"/>
      <c r="AH152" s="564">
        <v>1</v>
      </c>
      <c r="AI152" s="66"/>
    </row>
    <row r="153" spans="1:35" ht="12.75">
      <c r="A153">
        <v>9</v>
      </c>
      <c r="C153" s="1100" t="s">
        <v>2514</v>
      </c>
      <c r="D153" s="66">
        <v>120</v>
      </c>
      <c r="E153" s="66"/>
      <c r="F153" s="66"/>
      <c r="G153" s="66"/>
      <c r="H153" s="66">
        <v>120</v>
      </c>
      <c r="I153" s="66"/>
      <c r="J153" s="66"/>
      <c r="K153" s="66"/>
      <c r="L153" s="66"/>
      <c r="M153" s="66"/>
      <c r="N153" s="66"/>
      <c r="O153" s="66"/>
      <c r="T153" s="1853"/>
      <c r="U153" s="970">
        <v>275</v>
      </c>
      <c r="W153" s="66"/>
      <c r="X153" s="1335">
        <v>320</v>
      </c>
      <c r="Y153">
        <v>320</v>
      </c>
      <c r="AD153" s="564" t="s">
        <v>591</v>
      </c>
      <c r="AE153" s="564" t="s">
        <v>593</v>
      </c>
      <c r="AF153" s="564" t="s">
        <v>592</v>
      </c>
      <c r="AG153" s="66"/>
      <c r="AH153" s="564">
        <v>0</v>
      </c>
      <c r="AI153" s="66"/>
    </row>
    <row r="154" spans="1:35" ht="12.75">
      <c r="A154">
        <v>10</v>
      </c>
      <c r="C154" s="1102" t="s">
        <v>2515</v>
      </c>
      <c r="D154" s="564">
        <v>120</v>
      </c>
      <c r="E154" s="564"/>
      <c r="F154" s="66"/>
      <c r="G154" s="66"/>
      <c r="H154" s="564">
        <v>120</v>
      </c>
      <c r="I154" s="564"/>
      <c r="J154" s="66"/>
      <c r="K154" s="66"/>
      <c r="L154" s="564"/>
      <c r="M154" s="564"/>
      <c r="N154" s="66"/>
      <c r="O154" s="66"/>
      <c r="T154" s="1850" t="s">
        <v>2414</v>
      </c>
      <c r="U154" s="969">
        <v>158</v>
      </c>
      <c r="W154" s="1334" t="s">
        <v>380</v>
      </c>
      <c r="X154" s="1335">
        <v>200</v>
      </c>
      <c r="Y154">
        <v>200</v>
      </c>
      <c r="AD154" s="564" t="s">
        <v>591</v>
      </c>
      <c r="AE154" s="564" t="s">
        <v>607</v>
      </c>
      <c r="AF154" s="564" t="s">
        <v>1435</v>
      </c>
      <c r="AG154" s="66"/>
      <c r="AH154" s="564">
        <v>1</v>
      </c>
      <c r="AI154" s="66"/>
    </row>
    <row r="155" spans="1:35" ht="12.75">
      <c r="A155">
        <v>11</v>
      </c>
      <c r="C155" s="1101" t="s">
        <v>2516</v>
      </c>
      <c r="D155" s="66">
        <v>20</v>
      </c>
      <c r="E155" s="66"/>
      <c r="F155" s="66"/>
      <c r="G155" s="66"/>
      <c r="H155" s="66">
        <v>20</v>
      </c>
      <c r="I155" s="66"/>
      <c r="J155" s="66"/>
      <c r="K155" s="66"/>
      <c r="L155" s="66"/>
      <c r="M155" s="66"/>
      <c r="N155" s="66"/>
      <c r="O155" s="66"/>
      <c r="T155" s="1851"/>
      <c r="U155" s="969">
        <v>158</v>
      </c>
      <c r="W155" s="66"/>
      <c r="X155" s="1335">
        <v>275</v>
      </c>
      <c r="Y155">
        <v>320</v>
      </c>
      <c r="AD155" s="66" t="s">
        <v>576</v>
      </c>
      <c r="AE155" s="564" t="s">
        <v>589</v>
      </c>
      <c r="AF155" s="564" t="s">
        <v>590</v>
      </c>
      <c r="AG155" s="564">
        <v>0</v>
      </c>
      <c r="AH155" s="564">
        <v>1</v>
      </c>
      <c r="AI155" s="66"/>
    </row>
    <row r="156" spans="1:35" ht="12.75">
      <c r="A156">
        <v>12</v>
      </c>
      <c r="C156" s="1102" t="s">
        <v>1443</v>
      </c>
      <c r="D156" s="66"/>
      <c r="E156" s="66"/>
      <c r="F156" s="66">
        <v>120</v>
      </c>
      <c r="G156" s="66"/>
      <c r="H156" s="66"/>
      <c r="I156" s="66"/>
      <c r="J156" s="66">
        <v>110</v>
      </c>
      <c r="K156" s="66"/>
      <c r="L156" s="66"/>
      <c r="M156" s="66"/>
      <c r="N156" s="66"/>
      <c r="O156" s="66"/>
      <c r="T156" s="1846" t="s">
        <v>2415</v>
      </c>
      <c r="U156" s="970">
        <v>20</v>
      </c>
      <c r="W156" s="66" t="s">
        <v>685</v>
      </c>
      <c r="X156" s="66"/>
      <c r="Y156">
        <v>110</v>
      </c>
      <c r="AD156" s="66" t="s">
        <v>576</v>
      </c>
      <c r="AE156" s="564" t="s">
        <v>589</v>
      </c>
      <c r="AF156" s="564" t="s">
        <v>598</v>
      </c>
      <c r="AG156" s="564"/>
      <c r="AH156" s="564"/>
      <c r="AI156" s="66"/>
    </row>
    <row r="157" spans="1:35" ht="12.75">
      <c r="A157">
        <v>13</v>
      </c>
      <c r="C157" s="1100" t="s">
        <v>2518</v>
      </c>
      <c r="D157" s="66">
        <v>25</v>
      </c>
      <c r="E157" s="66"/>
      <c r="F157" s="66"/>
      <c r="G157" s="66"/>
      <c r="H157" s="66">
        <v>25</v>
      </c>
      <c r="I157" s="66"/>
      <c r="J157" s="66"/>
      <c r="K157" s="66"/>
      <c r="L157" s="66"/>
      <c r="M157" s="66"/>
      <c r="N157" s="66"/>
      <c r="O157" s="66"/>
      <c r="T157" s="1847"/>
      <c r="U157" s="970">
        <v>20</v>
      </c>
      <c r="W157" s="66"/>
      <c r="X157" s="66"/>
      <c r="Y157">
        <v>70</v>
      </c>
      <c r="AD157" s="66" t="s">
        <v>591</v>
      </c>
      <c r="AE157" s="564" t="s">
        <v>594</v>
      </c>
      <c r="AF157" s="564" t="s">
        <v>602</v>
      </c>
      <c r="AG157" s="564"/>
      <c r="AH157" s="564">
        <v>1</v>
      </c>
      <c r="AI157" s="66"/>
    </row>
    <row r="158" spans="1:35" ht="15" thickBot="1">
      <c r="A158">
        <v>14</v>
      </c>
      <c r="C158" s="1100" t="s">
        <v>2519</v>
      </c>
      <c r="D158" s="66">
        <v>100</v>
      </c>
      <c r="E158" s="66"/>
      <c r="F158" s="66"/>
      <c r="G158" s="66"/>
      <c r="H158" s="66">
        <v>100</v>
      </c>
      <c r="I158" s="66"/>
      <c r="J158" s="66"/>
      <c r="K158" s="66"/>
      <c r="L158" s="66"/>
      <c r="M158" s="66"/>
      <c r="N158" s="66"/>
      <c r="O158" s="66"/>
      <c r="T158" s="971"/>
      <c r="U158" s="972">
        <f>SUM(U145:U157)</f>
        <v>6316</v>
      </c>
      <c r="W158" s="66" t="s">
        <v>686</v>
      </c>
      <c r="X158" s="66"/>
      <c r="Y158">
        <v>30</v>
      </c>
      <c r="AD158" s="66" t="s">
        <v>591</v>
      </c>
      <c r="AE158" s="66" t="s">
        <v>594</v>
      </c>
      <c r="AF158" s="66" t="s">
        <v>596</v>
      </c>
      <c r="AG158" s="66" t="s">
        <v>600</v>
      </c>
      <c r="AH158" s="66">
        <v>3</v>
      </c>
      <c r="AI158" s="66">
        <v>1</v>
      </c>
    </row>
    <row r="159" spans="1:35" ht="12.75">
      <c r="A159">
        <v>15</v>
      </c>
      <c r="C159" s="1103" t="s">
        <v>2520</v>
      </c>
      <c r="D159" s="66"/>
      <c r="E159" s="66">
        <v>42</v>
      </c>
      <c r="F159" s="66"/>
      <c r="G159" s="66"/>
      <c r="H159" s="66"/>
      <c r="I159" s="66">
        <v>42</v>
      </c>
      <c r="J159" s="66"/>
      <c r="K159" s="66"/>
      <c r="L159" s="66"/>
      <c r="M159" s="66"/>
      <c r="N159" s="66"/>
      <c r="O159" s="66"/>
      <c r="Q159" s="792"/>
      <c r="W159" s="1607" t="s">
        <v>687</v>
      </c>
      <c r="X159" s="66"/>
      <c r="AD159" s="66" t="s">
        <v>591</v>
      </c>
      <c r="AE159" s="66" t="s">
        <v>594</v>
      </c>
      <c r="AF159" s="66" t="s">
        <v>2513</v>
      </c>
      <c r="AG159" s="66" t="s">
        <v>600</v>
      </c>
      <c r="AH159" s="66">
        <v>1</v>
      </c>
      <c r="AI159" s="66">
        <v>1</v>
      </c>
    </row>
    <row r="160" spans="1:35" ht="12.75">
      <c r="A160">
        <v>16</v>
      </c>
      <c r="C160" s="1102" t="s">
        <v>2521</v>
      </c>
      <c r="D160" s="66">
        <v>48.6</v>
      </c>
      <c r="E160" s="66"/>
      <c r="F160" s="66"/>
      <c r="G160" s="66"/>
      <c r="H160" s="66">
        <v>48.6</v>
      </c>
      <c r="I160" s="66"/>
      <c r="J160" s="66"/>
      <c r="K160" s="66"/>
      <c r="L160" s="66"/>
      <c r="M160" s="66"/>
      <c r="N160" s="66"/>
      <c r="O160" s="66"/>
      <c r="W160" s="66" t="s">
        <v>2414</v>
      </c>
      <c r="X160" s="1335">
        <v>158</v>
      </c>
      <c r="Y160">
        <v>158</v>
      </c>
      <c r="AD160" s="66" t="s">
        <v>591</v>
      </c>
      <c r="AE160" s="66" t="s">
        <v>594</v>
      </c>
      <c r="AF160" s="66" t="s">
        <v>608</v>
      </c>
      <c r="AG160" s="66"/>
      <c r="AH160" s="66">
        <v>1</v>
      </c>
      <c r="AI160" s="66"/>
    </row>
    <row r="161" spans="1:35" ht="12.75">
      <c r="A161">
        <v>17</v>
      </c>
      <c r="C161" s="1101" t="s">
        <v>2522</v>
      </c>
      <c r="D161" s="66"/>
      <c r="E161" s="66">
        <v>55</v>
      </c>
      <c r="F161" s="66"/>
      <c r="G161" s="66"/>
      <c r="H161" s="66"/>
      <c r="I161" s="66">
        <v>55</v>
      </c>
      <c r="J161" s="66"/>
      <c r="K161" s="66"/>
      <c r="L161" s="66"/>
      <c r="M161" s="66"/>
      <c r="N161" s="66"/>
      <c r="O161" s="66"/>
      <c r="W161" s="66"/>
      <c r="X161" s="1335">
        <v>158</v>
      </c>
      <c r="Y161">
        <v>158</v>
      </c>
      <c r="AD161" s="66" t="s">
        <v>576</v>
      </c>
      <c r="AE161" s="66" t="s">
        <v>605</v>
      </c>
      <c r="AF161" s="66" t="s">
        <v>606</v>
      </c>
      <c r="AG161" s="66"/>
      <c r="AH161" s="66">
        <v>1</v>
      </c>
      <c r="AI161" s="66">
        <v>1</v>
      </c>
    </row>
    <row r="162" spans="1:35" ht="12.75">
      <c r="A162">
        <v>18</v>
      </c>
      <c r="C162" s="1100" t="s">
        <v>2523</v>
      </c>
      <c r="D162" s="66">
        <v>360</v>
      </c>
      <c r="E162" s="66"/>
      <c r="F162" s="66"/>
      <c r="G162" s="66"/>
      <c r="H162" s="66">
        <v>360</v>
      </c>
      <c r="I162" s="66"/>
      <c r="J162" s="66"/>
      <c r="K162" s="66"/>
      <c r="L162" s="66"/>
      <c r="M162" s="66"/>
      <c r="N162" s="66"/>
      <c r="O162" s="66"/>
      <c r="W162" s="66" t="s">
        <v>689</v>
      </c>
      <c r="X162" s="1335">
        <v>0</v>
      </c>
      <c r="Y162">
        <v>0</v>
      </c>
      <c r="AD162" s="66" t="s">
        <v>576</v>
      </c>
      <c r="AE162" s="66" t="s">
        <v>588</v>
      </c>
      <c r="AF162" s="66" t="s">
        <v>599</v>
      </c>
      <c r="AG162" s="66"/>
      <c r="AH162" s="66">
        <v>1</v>
      </c>
      <c r="AI162" s="66"/>
    </row>
    <row r="163" spans="1:35" ht="12.75">
      <c r="A163">
        <v>19</v>
      </c>
      <c r="C163" s="1100" t="s">
        <v>2524</v>
      </c>
      <c r="D163" s="66"/>
      <c r="E163" s="66">
        <v>60</v>
      </c>
      <c r="F163" s="66"/>
      <c r="G163" s="66"/>
      <c r="H163" s="66"/>
      <c r="I163" s="66">
        <v>60</v>
      </c>
      <c r="J163" s="66"/>
      <c r="K163" s="66"/>
      <c r="L163" s="66"/>
      <c r="M163" s="66"/>
      <c r="N163" s="66"/>
      <c r="O163" s="66"/>
      <c r="W163" s="66" t="s">
        <v>690</v>
      </c>
      <c r="X163" s="1335">
        <v>0</v>
      </c>
      <c r="Y163">
        <v>0</v>
      </c>
      <c r="AD163" s="66" t="s">
        <v>576</v>
      </c>
      <c r="AE163" s="66" t="s">
        <v>588</v>
      </c>
      <c r="AF163" s="66" t="s">
        <v>601</v>
      </c>
      <c r="AG163" s="66"/>
      <c r="AH163" s="66">
        <v>1</v>
      </c>
      <c r="AI163" s="66"/>
    </row>
    <row r="164" spans="1:35" ht="12.75">
      <c r="A164">
        <v>20</v>
      </c>
      <c r="C164" s="1101" t="s">
        <v>2525</v>
      </c>
      <c r="D164" s="66">
        <v>250</v>
      </c>
      <c r="E164" s="66"/>
      <c r="F164" s="66"/>
      <c r="G164" s="66"/>
      <c r="H164" s="66">
        <v>250</v>
      </c>
      <c r="I164" s="66"/>
      <c r="J164" s="66"/>
      <c r="K164" s="66"/>
      <c r="L164" s="66"/>
      <c r="M164" s="66"/>
      <c r="N164" s="66"/>
      <c r="O164" s="66"/>
      <c r="W164" s="66" t="s">
        <v>692</v>
      </c>
      <c r="X164" s="1335">
        <v>0</v>
      </c>
      <c r="Y164">
        <v>0</v>
      </c>
      <c r="AD164" s="66" t="s">
        <v>576</v>
      </c>
      <c r="AE164" s="66" t="s">
        <v>588</v>
      </c>
      <c r="AF164" s="66" t="s">
        <v>609</v>
      </c>
      <c r="AG164" s="66"/>
      <c r="AH164" s="66">
        <v>2</v>
      </c>
      <c r="AI164" s="66"/>
    </row>
    <row r="165" spans="3:35" ht="12.75">
      <c r="C165" s="1101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W165" s="66" t="s">
        <v>691</v>
      </c>
      <c r="X165" s="1335">
        <v>250</v>
      </c>
      <c r="Y165">
        <v>0</v>
      </c>
      <c r="AD165" s="66"/>
      <c r="AE165" s="66"/>
      <c r="AF165" s="66"/>
      <c r="AG165" s="66"/>
      <c r="AH165" s="66"/>
      <c r="AI165" s="66"/>
    </row>
    <row r="166" spans="1:25" ht="12.75">
      <c r="A166">
        <v>21</v>
      </c>
      <c r="C166" s="1101" t="s">
        <v>2526</v>
      </c>
      <c r="D166" s="66">
        <v>100</v>
      </c>
      <c r="E166" s="66"/>
      <c r="F166" s="66"/>
      <c r="G166" s="66"/>
      <c r="H166" s="66">
        <v>100</v>
      </c>
      <c r="I166" s="66"/>
      <c r="J166" s="66"/>
      <c r="K166" s="66"/>
      <c r="L166" s="66"/>
      <c r="M166" s="66"/>
      <c r="N166" s="66"/>
      <c r="O166" s="66"/>
      <c r="W166" s="66"/>
      <c r="X166" s="1335">
        <v>250</v>
      </c>
      <c r="Y166">
        <v>0</v>
      </c>
    </row>
    <row r="167" spans="1:25" ht="12.75">
      <c r="A167">
        <v>22</v>
      </c>
      <c r="C167" s="1101" t="s">
        <v>436</v>
      </c>
      <c r="D167" s="66">
        <v>40.2</v>
      </c>
      <c r="E167" s="66"/>
      <c r="F167" s="66"/>
      <c r="G167" s="66"/>
      <c r="H167" s="66">
        <v>55</v>
      </c>
      <c r="I167" s="66"/>
      <c r="J167" s="66"/>
      <c r="K167" s="66"/>
      <c r="L167" s="66"/>
      <c r="M167" s="66"/>
      <c r="N167" s="66"/>
      <c r="O167" s="66"/>
      <c r="W167" s="66" t="s">
        <v>693</v>
      </c>
      <c r="X167" s="1335">
        <v>20</v>
      </c>
      <c r="Y167">
        <v>20</v>
      </c>
    </row>
    <row r="168" spans="1:25" ht="12.75">
      <c r="A168">
        <v>23</v>
      </c>
      <c r="C168" s="1101" t="s">
        <v>2527</v>
      </c>
      <c r="D168" s="564">
        <v>100</v>
      </c>
      <c r="E168" s="564"/>
      <c r="F168" s="564"/>
      <c r="G168" s="564"/>
      <c r="H168" s="564"/>
      <c r="I168" s="564">
        <v>100</v>
      </c>
      <c r="J168" s="66"/>
      <c r="K168" s="66"/>
      <c r="L168" s="564"/>
      <c r="M168" s="564"/>
      <c r="N168" s="564"/>
      <c r="O168" s="564"/>
      <c r="W168" s="66"/>
      <c r="X168" s="1335">
        <v>20</v>
      </c>
      <c r="Y168">
        <v>20</v>
      </c>
    </row>
    <row r="169" spans="1:25" ht="12.75">
      <c r="A169">
        <v>24</v>
      </c>
      <c r="B169" t="s">
        <v>1431</v>
      </c>
      <c r="C169" s="1096" t="s">
        <v>1450</v>
      </c>
      <c r="D169" s="1098"/>
      <c r="E169" s="622"/>
      <c r="F169" s="622"/>
      <c r="G169" s="622"/>
      <c r="H169" s="622"/>
      <c r="I169" s="622"/>
      <c r="J169" s="621"/>
      <c r="K169" s="621"/>
      <c r="L169" s="622"/>
      <c r="M169" s="622"/>
      <c r="N169" s="622"/>
      <c r="O169" s="622"/>
      <c r="W169" s="1605" t="s">
        <v>688</v>
      </c>
      <c r="Y169">
        <v>70</v>
      </c>
    </row>
    <row r="170" spans="1:25" ht="12.75">
      <c r="A170">
        <v>25</v>
      </c>
      <c r="B170" t="s">
        <v>1430</v>
      </c>
      <c r="C170" s="1096" t="s">
        <v>1429</v>
      </c>
      <c r="D170" s="1098"/>
      <c r="E170" s="622"/>
      <c r="F170" s="622"/>
      <c r="G170" s="622"/>
      <c r="H170" s="622"/>
      <c r="I170" s="622"/>
      <c r="J170" s="621"/>
      <c r="K170" s="621"/>
      <c r="L170" s="1098"/>
      <c r="M170" s="622"/>
      <c r="N170" s="622"/>
      <c r="O170" s="622"/>
      <c r="Y170">
        <v>70</v>
      </c>
    </row>
    <row r="171" spans="1:24" ht="12.75">
      <c r="A171">
        <v>26</v>
      </c>
      <c r="B171" t="s">
        <v>1431</v>
      </c>
      <c r="C171" s="1099" t="s">
        <v>1432</v>
      </c>
      <c r="D171" s="1098"/>
      <c r="E171" s="622"/>
      <c r="F171" s="622"/>
      <c r="G171" s="622"/>
      <c r="H171" s="622"/>
      <c r="I171" s="622"/>
      <c r="J171" s="621"/>
      <c r="K171" s="621"/>
      <c r="L171" s="1098"/>
      <c r="M171" s="622"/>
      <c r="N171" s="622"/>
      <c r="O171" s="622"/>
      <c r="W171" s="564" t="s">
        <v>595</v>
      </c>
      <c r="X171" s="1335"/>
    </row>
    <row r="172" spans="1:25" ht="12.75">
      <c r="A172">
        <v>27</v>
      </c>
      <c r="B172" t="s">
        <v>1434</v>
      </c>
      <c r="C172" s="1099" t="s">
        <v>1433</v>
      </c>
      <c r="D172" s="622"/>
      <c r="E172" s="1098"/>
      <c r="F172" s="622"/>
      <c r="G172" s="622"/>
      <c r="H172" s="622"/>
      <c r="I172" s="622"/>
      <c r="J172" s="621"/>
      <c r="K172" s="621"/>
      <c r="L172" s="1098"/>
      <c r="M172" s="622"/>
      <c r="N172" s="622"/>
      <c r="O172" s="622"/>
      <c r="X172">
        <f>SUM(X145:X171)</f>
        <v>7448</v>
      </c>
      <c r="Y172" s="1606">
        <f>SUM(Y145:Y171)</f>
        <v>7343</v>
      </c>
    </row>
    <row r="173" spans="1:15" ht="12.75">
      <c r="A173">
        <v>28</v>
      </c>
      <c r="B173" t="s">
        <v>1436</v>
      </c>
      <c r="C173" s="1099" t="s">
        <v>1435</v>
      </c>
      <c r="D173" s="622"/>
      <c r="E173" s="1098"/>
      <c r="F173" s="622"/>
      <c r="G173" s="622"/>
      <c r="H173" s="622"/>
      <c r="I173" s="622"/>
      <c r="J173" s="621"/>
      <c r="K173" s="621"/>
      <c r="L173" s="1098"/>
      <c r="M173" s="622"/>
      <c r="N173" s="622"/>
      <c r="O173" s="622"/>
    </row>
    <row r="174" spans="1:15" ht="12.75">
      <c r="A174">
        <v>29</v>
      </c>
      <c r="B174" t="s">
        <v>1438</v>
      </c>
      <c r="C174" s="1099" t="s">
        <v>1437</v>
      </c>
      <c r="D174" s="622"/>
      <c r="E174" s="1098"/>
      <c r="F174" s="622"/>
      <c r="G174" s="622"/>
      <c r="H174" s="622"/>
      <c r="I174" s="622"/>
      <c r="J174" s="621"/>
      <c r="K174" s="621"/>
      <c r="L174" s="1098"/>
      <c r="M174" s="622"/>
      <c r="N174" s="622"/>
      <c r="O174" s="622"/>
    </row>
    <row r="175" spans="3:15" ht="12.75">
      <c r="C175" s="1099"/>
      <c r="D175" s="622"/>
      <c r="E175" s="1098"/>
      <c r="F175" s="622"/>
      <c r="G175" s="622"/>
      <c r="H175" s="622"/>
      <c r="I175" s="622"/>
      <c r="J175" s="621"/>
      <c r="K175" s="621"/>
      <c r="L175" s="1098"/>
      <c r="M175" s="622"/>
      <c r="N175" s="622"/>
      <c r="O175" s="622"/>
    </row>
    <row r="176" spans="3:15" ht="12.75">
      <c r="C176" s="1099"/>
      <c r="D176" s="622"/>
      <c r="E176" s="1098"/>
      <c r="F176" s="622"/>
      <c r="G176" s="622"/>
      <c r="H176" s="622"/>
      <c r="I176" s="622"/>
      <c r="J176" s="621"/>
      <c r="K176" s="621"/>
      <c r="L176" s="1098"/>
      <c r="M176" s="622"/>
      <c r="N176" s="622"/>
      <c r="O176" s="622"/>
    </row>
    <row r="177" spans="3:15" ht="12.75">
      <c r="C177" s="1099"/>
      <c r="D177" s="622"/>
      <c r="E177" s="1098"/>
      <c r="F177" s="622"/>
      <c r="G177" s="622"/>
      <c r="H177" s="622"/>
      <c r="I177" s="622"/>
      <c r="J177" s="621"/>
      <c r="K177" s="621"/>
      <c r="L177" s="1098"/>
      <c r="M177" s="622"/>
      <c r="N177" s="622"/>
      <c r="O177" s="622"/>
    </row>
    <row r="178" spans="1:15" ht="12.75">
      <c r="A178">
        <v>30</v>
      </c>
      <c r="C178" s="1099" t="s">
        <v>1439</v>
      </c>
      <c r="D178" s="622"/>
      <c r="E178" s="622"/>
      <c r="F178" s="622"/>
      <c r="G178" s="622"/>
      <c r="H178" s="622"/>
      <c r="I178" s="622"/>
      <c r="J178" s="621"/>
      <c r="K178" s="621"/>
      <c r="L178" s="1098"/>
      <c r="M178" s="622"/>
      <c r="N178" s="622"/>
      <c r="O178" s="622"/>
    </row>
    <row r="179" spans="1:15" ht="12.75">
      <c r="A179">
        <v>31</v>
      </c>
      <c r="C179" s="1099" t="s">
        <v>1440</v>
      </c>
      <c r="D179" s="622"/>
      <c r="E179" s="622"/>
      <c r="F179" s="622"/>
      <c r="G179" s="622"/>
      <c r="H179" s="622"/>
      <c r="I179" s="622"/>
      <c r="J179" s="621"/>
      <c r="K179" s="621"/>
      <c r="L179" s="1098"/>
      <c r="M179" s="622"/>
      <c r="N179" s="622"/>
      <c r="O179" s="622"/>
    </row>
    <row r="180" spans="3:15" ht="12.75">
      <c r="C180" s="1099"/>
      <c r="D180" s="622"/>
      <c r="E180" s="622"/>
      <c r="F180" s="622"/>
      <c r="G180" s="622"/>
      <c r="H180" s="622"/>
      <c r="I180" s="622"/>
      <c r="J180" s="621"/>
      <c r="K180" s="621"/>
      <c r="L180" s="1098"/>
      <c r="M180" s="622"/>
      <c r="N180" s="622"/>
      <c r="O180" s="622"/>
    </row>
    <row r="181" spans="3:15" ht="12.75">
      <c r="C181" s="1099"/>
      <c r="D181" s="622"/>
      <c r="E181" s="622"/>
      <c r="F181" s="622"/>
      <c r="G181" s="622"/>
      <c r="H181" s="622"/>
      <c r="I181" s="622"/>
      <c r="J181" s="621"/>
      <c r="K181" s="621"/>
      <c r="L181" s="1098"/>
      <c r="M181" s="622"/>
      <c r="N181" s="622"/>
      <c r="O181" s="622"/>
    </row>
    <row r="182" spans="3:15" ht="12.75">
      <c r="C182" s="1099"/>
      <c r="D182" s="622"/>
      <c r="E182" s="622"/>
      <c r="F182" s="622"/>
      <c r="G182" s="622"/>
      <c r="H182" s="622"/>
      <c r="I182" s="622"/>
      <c r="J182" s="621"/>
      <c r="K182" s="621"/>
      <c r="L182" s="1098"/>
      <c r="M182" s="622"/>
      <c r="N182" s="622"/>
      <c r="O182" s="622"/>
    </row>
    <row r="183" spans="1:15" ht="12.75">
      <c r="A183">
        <v>32</v>
      </c>
      <c r="C183" s="1099" t="s">
        <v>1441</v>
      </c>
      <c r="D183" s="622"/>
      <c r="E183" s="622"/>
      <c r="F183" s="622"/>
      <c r="G183" s="622"/>
      <c r="H183" s="622"/>
      <c r="I183" s="622"/>
      <c r="J183" s="621"/>
      <c r="K183" s="621"/>
      <c r="L183" s="1098"/>
      <c r="M183" s="622"/>
      <c r="N183" s="622"/>
      <c r="O183" s="622"/>
    </row>
    <row r="184" spans="3:15" ht="12.75">
      <c r="C184" s="1099"/>
      <c r="D184" s="622"/>
      <c r="E184" s="622"/>
      <c r="F184" s="622"/>
      <c r="G184" s="622"/>
      <c r="H184" s="622"/>
      <c r="I184" s="622"/>
      <c r="J184" s="621"/>
      <c r="K184" s="621"/>
      <c r="L184" s="1098"/>
      <c r="M184" s="622"/>
      <c r="N184" s="622"/>
      <c r="O184" s="622"/>
    </row>
    <row r="185" spans="3:15" ht="12.75">
      <c r="C185" s="1099"/>
      <c r="D185" s="622"/>
      <c r="E185" s="622"/>
      <c r="F185" s="622"/>
      <c r="G185" s="622"/>
      <c r="H185" s="622"/>
      <c r="I185" s="622"/>
      <c r="J185" s="621"/>
      <c r="K185" s="621"/>
      <c r="L185" s="1098"/>
      <c r="M185" s="622"/>
      <c r="N185" s="622"/>
      <c r="O185" s="622"/>
    </row>
    <row r="186" spans="1:15" ht="12.75">
      <c r="A186">
        <v>33</v>
      </c>
      <c r="C186" s="1099" t="s">
        <v>1442</v>
      </c>
      <c r="D186" s="622"/>
      <c r="E186" s="622"/>
      <c r="F186" s="622"/>
      <c r="G186" s="622"/>
      <c r="H186" s="622"/>
      <c r="I186" s="622"/>
      <c r="J186" s="621"/>
      <c r="K186" s="621"/>
      <c r="L186" s="1098"/>
      <c r="M186" s="622"/>
      <c r="N186" s="622"/>
      <c r="O186" s="622"/>
    </row>
    <row r="187" spans="3:15" ht="12.75">
      <c r="C187" s="1099"/>
      <c r="D187" s="622"/>
      <c r="E187" s="622"/>
      <c r="F187" s="622"/>
      <c r="G187" s="622"/>
      <c r="H187" s="622"/>
      <c r="I187" s="622"/>
      <c r="J187" s="621"/>
      <c r="K187" s="621"/>
      <c r="L187" s="1098"/>
      <c r="M187" s="622"/>
      <c r="N187" s="622"/>
      <c r="O187" s="622"/>
    </row>
    <row r="188" spans="3:15" ht="12.75">
      <c r="C188" s="1099"/>
      <c r="D188" s="622"/>
      <c r="E188" s="622"/>
      <c r="F188" s="622"/>
      <c r="G188" s="622"/>
      <c r="H188" s="622"/>
      <c r="I188" s="622"/>
      <c r="J188" s="621"/>
      <c r="K188" s="621"/>
      <c r="L188" s="1098"/>
      <c r="M188" s="622"/>
      <c r="N188" s="622"/>
      <c r="O188" s="622"/>
    </row>
    <row r="189" spans="3:15" ht="12.75">
      <c r="C189" s="1099"/>
      <c r="D189" s="622"/>
      <c r="E189" s="622"/>
      <c r="F189" s="622"/>
      <c r="G189" s="622"/>
      <c r="H189" s="622"/>
      <c r="I189" s="622"/>
      <c r="J189" s="621"/>
      <c r="K189" s="621"/>
      <c r="L189" s="1098"/>
      <c r="M189" s="622"/>
      <c r="N189" s="622"/>
      <c r="O189" s="622"/>
    </row>
    <row r="190" spans="1:15" ht="12.75">
      <c r="A190">
        <v>34</v>
      </c>
      <c r="C190" s="1099" t="s">
        <v>1444</v>
      </c>
      <c r="D190" s="622"/>
      <c r="E190" s="622"/>
      <c r="F190" s="622"/>
      <c r="G190" s="622"/>
      <c r="H190" s="622"/>
      <c r="I190" s="622"/>
      <c r="J190" s="621"/>
      <c r="K190" s="621"/>
      <c r="L190" s="1098"/>
      <c r="M190" s="622"/>
      <c r="N190" s="622"/>
      <c r="O190" s="622"/>
    </row>
    <row r="191" spans="1:15" ht="12.75">
      <c r="A191">
        <v>35</v>
      </c>
      <c r="C191" s="1099" t="s">
        <v>1445</v>
      </c>
      <c r="D191" s="622"/>
      <c r="E191" s="622"/>
      <c r="F191" s="622"/>
      <c r="G191" s="622"/>
      <c r="H191" s="622"/>
      <c r="I191" s="622"/>
      <c r="J191" s="621"/>
      <c r="K191" s="621"/>
      <c r="L191" s="1098"/>
      <c r="M191" s="622"/>
      <c r="N191" s="622"/>
      <c r="O191" s="622"/>
    </row>
    <row r="192" spans="1:15" ht="12.75">
      <c r="A192">
        <v>36</v>
      </c>
      <c r="C192" s="1099" t="s">
        <v>1446</v>
      </c>
      <c r="D192" s="622"/>
      <c r="E192" s="622"/>
      <c r="F192" s="622"/>
      <c r="G192" s="622"/>
      <c r="H192" s="622"/>
      <c r="I192" s="622"/>
      <c r="J192" s="621"/>
      <c r="K192" s="621"/>
      <c r="L192" s="1098"/>
      <c r="M192" s="622"/>
      <c r="N192" s="622"/>
      <c r="O192" s="622"/>
    </row>
    <row r="193" spans="1:15" ht="12.75">
      <c r="A193">
        <v>37</v>
      </c>
      <c r="C193" s="1099" t="s">
        <v>1447</v>
      </c>
      <c r="D193" s="622"/>
      <c r="E193" s="622"/>
      <c r="F193" s="622"/>
      <c r="G193" s="622"/>
      <c r="H193" s="622"/>
      <c r="I193" s="622"/>
      <c r="J193" s="621"/>
      <c r="K193" s="621"/>
      <c r="L193" s="1098"/>
      <c r="M193" s="622"/>
      <c r="N193" s="622"/>
      <c r="O193" s="622"/>
    </row>
    <row r="194" spans="1:15" ht="12.75">
      <c r="A194">
        <v>38</v>
      </c>
      <c r="C194" s="1099" t="s">
        <v>1448</v>
      </c>
      <c r="D194" s="622"/>
      <c r="E194" s="622"/>
      <c r="F194" s="622"/>
      <c r="G194" s="622"/>
      <c r="H194" s="622"/>
      <c r="I194" s="622"/>
      <c r="J194" s="621"/>
      <c r="K194" s="621"/>
      <c r="L194" s="1098"/>
      <c r="M194" s="622"/>
      <c r="N194" s="622"/>
      <c r="O194" s="622"/>
    </row>
    <row r="195" spans="1:15" ht="12.75">
      <c r="A195">
        <v>39</v>
      </c>
      <c r="C195" s="1099" t="s">
        <v>1449</v>
      </c>
      <c r="D195" s="622"/>
      <c r="E195" s="622"/>
      <c r="F195" s="622"/>
      <c r="G195" s="622"/>
      <c r="H195" s="622"/>
      <c r="I195" s="622"/>
      <c r="J195" s="621"/>
      <c r="K195" s="621"/>
      <c r="L195" s="1098"/>
      <c r="M195" s="622"/>
      <c r="N195" s="622"/>
      <c r="O195" s="622"/>
    </row>
    <row r="196" spans="4:15" ht="15">
      <c r="D196" s="965">
        <f aca="true" t="shared" si="1" ref="D196:K196">SUM(D145:D168)</f>
        <v>8613.800000000001</v>
      </c>
      <c r="E196" s="966">
        <f t="shared" si="1"/>
        <v>207</v>
      </c>
      <c r="F196" s="966">
        <f t="shared" si="1"/>
        <v>120</v>
      </c>
      <c r="G196" s="965">
        <f t="shared" si="1"/>
        <v>0</v>
      </c>
      <c r="H196" s="965">
        <f t="shared" si="1"/>
        <v>8528.6</v>
      </c>
      <c r="I196" s="966">
        <f t="shared" si="1"/>
        <v>307</v>
      </c>
      <c r="J196" s="966">
        <f t="shared" si="1"/>
        <v>110</v>
      </c>
      <c r="K196" s="965">
        <f t="shared" si="1"/>
        <v>0</v>
      </c>
      <c r="L196" s="965">
        <f>SUM(L145:L168)</f>
        <v>0</v>
      </c>
      <c r="M196" s="966">
        <f>SUM(M145:M168)</f>
        <v>0</v>
      </c>
      <c r="N196" s="966">
        <f>SUM(N145:N168)</f>
        <v>0</v>
      </c>
      <c r="O196" s="965">
        <f>SUM(O145:O168)</f>
        <v>0</v>
      </c>
    </row>
    <row r="197" spans="3:15" ht="12.75">
      <c r="C197" s="66" t="s">
        <v>2528</v>
      </c>
      <c r="D197" s="967">
        <f>D140-(D196-E196-F196)/1000</f>
        <v>17.8232</v>
      </c>
      <c r="E197" s="66"/>
      <c r="F197" s="66"/>
      <c r="G197" s="66"/>
      <c r="H197" s="66"/>
      <c r="I197" s="66"/>
      <c r="J197" s="66"/>
      <c r="K197" s="66"/>
      <c r="L197" s="967">
        <f>L140-(L196-M196-N196)/1000</f>
        <v>6.510000000000001</v>
      </c>
      <c r="M197" s="66"/>
      <c r="N197" s="66"/>
      <c r="O197" s="66"/>
    </row>
    <row r="198" ht="12.75">
      <c r="D198" s="139">
        <f>D196/1000+D197</f>
        <v>26.437</v>
      </c>
    </row>
    <row r="200" ht="12.75">
      <c r="D200">
        <f>D196/1000+D197+(E196+F196)/1000</f>
        <v>26.764000000000003</v>
      </c>
    </row>
    <row r="201" spans="4:6" ht="12.75">
      <c r="D201" s="139">
        <f>D140-D197</f>
        <v>8.286800000000003</v>
      </c>
      <c r="E201">
        <f>D201/N140*1000</f>
        <v>2.145368792182936</v>
      </c>
      <c r="F201">
        <f>4797+2147</f>
        <v>6944</v>
      </c>
    </row>
  </sheetData>
  <sheetProtection/>
  <mergeCells count="55">
    <mergeCell ref="S82:W82"/>
    <mergeCell ref="V47:W47"/>
    <mergeCell ref="S48:W48"/>
    <mergeCell ref="L142:O142"/>
    <mergeCell ref="Q47:R47"/>
    <mergeCell ref="N48:R48"/>
    <mergeCell ref="N82:R82"/>
    <mergeCell ref="I107:M109"/>
    <mergeCell ref="N107:N109"/>
    <mergeCell ref="O107:S109"/>
    <mergeCell ref="N143:O143"/>
    <mergeCell ref="T156:T157"/>
    <mergeCell ref="T144:U144"/>
    <mergeCell ref="T150:T151"/>
    <mergeCell ref="T152:T153"/>
    <mergeCell ref="T154:T155"/>
    <mergeCell ref="F143:G143"/>
    <mergeCell ref="D143:E143"/>
    <mergeCell ref="B112:S112"/>
    <mergeCell ref="B121:S121"/>
    <mergeCell ref="B131:S131"/>
    <mergeCell ref="D142:G142"/>
    <mergeCell ref="H142:K142"/>
    <mergeCell ref="H143:I143"/>
    <mergeCell ref="J143:K143"/>
    <mergeCell ref="L143:M143"/>
    <mergeCell ref="C107:C110"/>
    <mergeCell ref="O4:S4"/>
    <mergeCell ref="B2:G3"/>
    <mergeCell ref="M2:N3"/>
    <mergeCell ref="B4:B5"/>
    <mergeCell ref="C4:C5"/>
    <mergeCell ref="D4:D5"/>
    <mergeCell ref="E4:I4"/>
    <mergeCell ref="J4:N4"/>
    <mergeCell ref="B46:G47"/>
    <mergeCell ref="L46:M47"/>
    <mergeCell ref="H46:K47"/>
    <mergeCell ref="B82:B83"/>
    <mergeCell ref="C82:C83"/>
    <mergeCell ref="D82:H82"/>
    <mergeCell ref="I82:M82"/>
    <mergeCell ref="L80:M81"/>
    <mergeCell ref="B80:G81"/>
    <mergeCell ref="H80:K81"/>
    <mergeCell ref="W144:X144"/>
    <mergeCell ref="W143:X143"/>
    <mergeCell ref="B48:B49"/>
    <mergeCell ref="C48:C49"/>
    <mergeCell ref="D48:H48"/>
    <mergeCell ref="I48:M48"/>
    <mergeCell ref="B105:I106"/>
    <mergeCell ref="R105:S106"/>
    <mergeCell ref="B107:B110"/>
    <mergeCell ref="D107:H109"/>
  </mergeCells>
  <printOptions/>
  <pageMargins left="0.4330708661417323" right="0.15748031496062992" top="0.36" bottom="0.22" header="0.19" footer="0.18"/>
  <pageSetup fitToHeight="1" fitToWidth="1" horizontalDpi="600" verticalDpi="600" orientation="landscape" paperSize="9" scale="5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7" sqref="E17:F17"/>
    </sheetView>
  </sheetViews>
  <sheetFormatPr defaultColWidth="9.00390625" defaultRowHeight="12.75"/>
  <cols>
    <col min="3" max="3" width="27.25390625" style="0" customWidth="1"/>
    <col min="4" max="4" width="28.625" style="0" customWidth="1"/>
    <col min="5" max="5" width="16.875" style="0" customWidth="1"/>
    <col min="6" max="6" width="20.875" style="0" customWidth="1"/>
    <col min="7" max="7" width="17.625" style="0" customWidth="1"/>
  </cols>
  <sheetData>
    <row r="1" ht="13.5" thickBot="1">
      <c r="A1" s="53" t="s">
        <v>1614</v>
      </c>
    </row>
    <row r="2" spans="2:7" ht="12.75">
      <c r="B2" s="1754" t="s">
        <v>217</v>
      </c>
      <c r="C2" s="1755"/>
      <c r="D2" s="1755"/>
      <c r="E2" s="1755"/>
      <c r="F2" s="14"/>
      <c r="G2" s="1864" t="s">
        <v>221</v>
      </c>
    </row>
    <row r="3" spans="2:7" ht="13.5" thickBot="1">
      <c r="B3" s="1756"/>
      <c r="C3" s="1757"/>
      <c r="D3" s="1757"/>
      <c r="E3" s="1757"/>
      <c r="F3" s="42"/>
      <c r="G3" s="1744"/>
    </row>
    <row r="4" spans="2:7" ht="12.75">
      <c r="B4" s="1860" t="s">
        <v>163</v>
      </c>
      <c r="C4" s="1862" t="s">
        <v>203</v>
      </c>
      <c r="D4" s="1862" t="s">
        <v>204</v>
      </c>
      <c r="E4" s="1862"/>
      <c r="F4" s="1862" t="s">
        <v>205</v>
      </c>
      <c r="G4" s="1865"/>
    </row>
    <row r="5" spans="2:7" ht="51">
      <c r="B5" s="1861"/>
      <c r="C5" s="1863"/>
      <c r="D5" s="1" t="s">
        <v>214</v>
      </c>
      <c r="E5" s="1" t="s">
        <v>215</v>
      </c>
      <c r="F5" s="1" t="s">
        <v>214</v>
      </c>
      <c r="G5" s="6" t="s">
        <v>215</v>
      </c>
    </row>
    <row r="6" spans="2:7" ht="12.75">
      <c r="B6" s="18">
        <v>1</v>
      </c>
      <c r="C6" s="16">
        <v>2</v>
      </c>
      <c r="D6" s="16">
        <v>3</v>
      </c>
      <c r="E6" s="16">
        <v>4</v>
      </c>
      <c r="F6" s="16">
        <v>5</v>
      </c>
      <c r="G6" s="19">
        <v>6</v>
      </c>
    </row>
    <row r="7" spans="1:7" ht="17.25" customHeight="1">
      <c r="A7" s="25"/>
      <c r="B7" s="5" t="s">
        <v>124</v>
      </c>
      <c r="C7" s="2" t="s">
        <v>206</v>
      </c>
      <c r="D7" s="45"/>
      <c r="E7" s="45"/>
      <c r="F7" s="45"/>
      <c r="G7" s="46"/>
    </row>
    <row r="8" spans="1:7" ht="12.75">
      <c r="A8" s="25"/>
      <c r="B8" s="5"/>
      <c r="C8" s="2" t="s">
        <v>207</v>
      </c>
      <c r="D8" s="45"/>
      <c r="E8" s="45"/>
      <c r="F8" s="45"/>
      <c r="G8" s="46"/>
    </row>
    <row r="9" spans="1:7" ht="12.75">
      <c r="A9" s="25"/>
      <c r="B9" s="5"/>
      <c r="C9" s="2" t="s">
        <v>208</v>
      </c>
      <c r="D9" s="45"/>
      <c r="E9" s="45"/>
      <c r="F9" s="45"/>
      <c r="G9" s="46"/>
    </row>
    <row r="10" spans="1:7" ht="12.75">
      <c r="A10" s="25"/>
      <c r="B10" s="5"/>
      <c r="C10" s="37" t="s">
        <v>209</v>
      </c>
      <c r="D10" s="45"/>
      <c r="E10" s="45"/>
      <c r="F10" s="45"/>
      <c r="G10" s="46"/>
    </row>
    <row r="11" spans="1:7" ht="12.75">
      <c r="A11" s="25"/>
      <c r="B11" s="5"/>
      <c r="C11" s="37" t="s">
        <v>210</v>
      </c>
      <c r="D11" s="45"/>
      <c r="E11" s="45"/>
      <c r="F11" s="45"/>
      <c r="G11" s="46"/>
    </row>
    <row r="12" spans="1:7" ht="12.75">
      <c r="A12" s="25"/>
      <c r="B12" s="5"/>
      <c r="C12" s="37" t="s">
        <v>211</v>
      </c>
      <c r="D12" s="45"/>
      <c r="E12" s="45"/>
      <c r="F12" s="45"/>
      <c r="G12" s="46"/>
    </row>
    <row r="13" spans="1:7" ht="12.75">
      <c r="A13" s="25"/>
      <c r="B13" s="5"/>
      <c r="C13" s="37" t="s">
        <v>212</v>
      </c>
      <c r="D13" s="45"/>
      <c r="E13" s="45"/>
      <c r="F13" s="45"/>
      <c r="G13" s="46"/>
    </row>
    <row r="14" spans="1:7" ht="12.75">
      <c r="A14" s="25"/>
      <c r="B14" s="5"/>
      <c r="C14" s="37" t="s">
        <v>213</v>
      </c>
      <c r="D14" s="45"/>
      <c r="E14" s="45"/>
      <c r="F14" s="45"/>
      <c r="G14" s="46"/>
    </row>
    <row r="15" spans="1:7" ht="25.5">
      <c r="A15" s="25"/>
      <c r="B15" s="5" t="s">
        <v>125</v>
      </c>
      <c r="C15" s="2" t="s">
        <v>216</v>
      </c>
      <c r="D15" s="45"/>
      <c r="E15" s="45"/>
      <c r="F15" s="45"/>
      <c r="G15" s="46"/>
    </row>
    <row r="16" spans="1:7" ht="12.75">
      <c r="A16" s="25"/>
      <c r="B16" s="5"/>
      <c r="C16" s="2" t="s">
        <v>207</v>
      </c>
      <c r="D16" s="45"/>
      <c r="E16" s="45"/>
      <c r="F16" s="45"/>
      <c r="G16" s="46"/>
    </row>
    <row r="17" spans="1:7" ht="12.75">
      <c r="A17" s="25"/>
      <c r="B17" s="5"/>
      <c r="C17" s="2" t="s">
        <v>208</v>
      </c>
      <c r="D17" s="45"/>
      <c r="E17" s="45"/>
      <c r="F17" s="45"/>
      <c r="G17" s="46"/>
    </row>
    <row r="18" spans="1:7" ht="12.75">
      <c r="A18" s="25"/>
      <c r="B18" s="5"/>
      <c r="C18" s="37" t="s">
        <v>209</v>
      </c>
      <c r="D18" s="45"/>
      <c r="E18" s="45"/>
      <c r="F18" s="45"/>
      <c r="G18" s="46"/>
    </row>
    <row r="19" spans="1:7" ht="12.75">
      <c r="A19" s="25"/>
      <c r="B19" s="5"/>
      <c r="C19" s="37" t="s">
        <v>210</v>
      </c>
      <c r="D19" s="45"/>
      <c r="E19" s="45"/>
      <c r="F19" s="45"/>
      <c r="G19" s="46"/>
    </row>
    <row r="20" spans="1:7" ht="12.75">
      <c r="A20" s="25"/>
      <c r="B20" s="5"/>
      <c r="C20" s="37" t="s">
        <v>211</v>
      </c>
      <c r="D20" s="45"/>
      <c r="E20" s="45"/>
      <c r="F20" s="45"/>
      <c r="G20" s="46"/>
    </row>
    <row r="21" spans="1:7" ht="12.75">
      <c r="A21" s="25"/>
      <c r="B21" s="5"/>
      <c r="C21" s="37" t="s">
        <v>212</v>
      </c>
      <c r="D21" s="45"/>
      <c r="E21" s="45"/>
      <c r="F21" s="45"/>
      <c r="G21" s="46"/>
    </row>
    <row r="22" spans="2:7" ht="13.5" thickBot="1">
      <c r="B22" s="22"/>
      <c r="C22" s="44" t="s">
        <v>213</v>
      </c>
      <c r="D22" s="47"/>
      <c r="E22" s="47"/>
      <c r="F22" s="47"/>
      <c r="G22" s="48"/>
    </row>
    <row r="24" ht="15.75">
      <c r="C24" s="12" t="s">
        <v>222</v>
      </c>
    </row>
  </sheetData>
  <sheetProtection/>
  <mergeCells count="6">
    <mergeCell ref="B4:B5"/>
    <mergeCell ref="C4:C5"/>
    <mergeCell ref="G2:G3"/>
    <mergeCell ref="B2:E3"/>
    <mergeCell ref="D4:E4"/>
    <mergeCell ref="F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6">
      <selection activeCell="R8" sqref="R8"/>
    </sheetView>
  </sheetViews>
  <sheetFormatPr defaultColWidth="9.00390625" defaultRowHeight="12.75"/>
  <cols>
    <col min="2" max="2" width="6.125" style="0" customWidth="1"/>
    <col min="3" max="3" width="23.00390625" style="0" customWidth="1"/>
    <col min="4" max="4" width="14.625" style="0" customWidth="1"/>
    <col min="5" max="5" width="15.375" style="0" customWidth="1"/>
    <col min="6" max="6" width="7.25390625" style="0" customWidth="1"/>
    <col min="7" max="7" width="14.375" style="0" customWidth="1"/>
    <col min="8" max="8" width="7.25390625" style="0" customWidth="1"/>
    <col min="10" max="10" width="10.25390625" style="0" customWidth="1"/>
    <col min="11" max="11" width="10.625" style="0" customWidth="1"/>
    <col min="12" max="12" width="12.125" style="0" customWidth="1"/>
    <col min="13" max="13" width="18.25390625" style="0" customWidth="1"/>
    <col min="14" max="15" width="10.375" style="0" customWidth="1"/>
    <col min="16" max="16" width="10.125" style="0" customWidth="1"/>
  </cols>
  <sheetData>
    <row r="1" ht="13.5" thickBot="1">
      <c r="A1" t="s">
        <v>250</v>
      </c>
    </row>
    <row r="2" spans="2:16" ht="12.75">
      <c r="B2" s="1874" t="s">
        <v>443</v>
      </c>
      <c r="C2" s="1755"/>
      <c r="D2" s="1755"/>
      <c r="E2" s="1755"/>
      <c r="F2" s="1755"/>
      <c r="G2" s="1755"/>
      <c r="H2" s="1755"/>
      <c r="I2" s="1755"/>
      <c r="J2" s="1755"/>
      <c r="K2" s="1755"/>
      <c r="L2" s="14"/>
      <c r="M2" s="14"/>
      <c r="N2" s="14"/>
      <c r="O2" s="1870" t="s">
        <v>444</v>
      </c>
      <c r="P2" s="1871"/>
    </row>
    <row r="3" spans="2:16" ht="13.5" thickBot="1">
      <c r="B3" s="1756"/>
      <c r="C3" s="1757"/>
      <c r="D3" s="1757"/>
      <c r="E3" s="1757"/>
      <c r="F3" s="1757"/>
      <c r="G3" s="1757"/>
      <c r="H3" s="1757"/>
      <c r="I3" s="1757"/>
      <c r="J3" s="1757"/>
      <c r="K3" s="1757"/>
      <c r="L3" s="42"/>
      <c r="M3" s="42"/>
      <c r="N3" s="42"/>
      <c r="O3" s="1872"/>
      <c r="P3" s="1873"/>
    </row>
    <row r="4" spans="2:16" ht="12.75">
      <c r="B4" s="1860" t="s">
        <v>223</v>
      </c>
      <c r="C4" s="1862" t="s">
        <v>224</v>
      </c>
      <c r="D4" s="1862" t="s">
        <v>225</v>
      </c>
      <c r="E4" s="1875"/>
      <c r="F4" s="1875"/>
      <c r="G4" s="1875"/>
      <c r="H4" s="1875"/>
      <c r="I4" s="1875"/>
      <c r="J4" s="1875"/>
      <c r="K4" s="1875"/>
      <c r="L4" s="1862" t="s">
        <v>226</v>
      </c>
      <c r="M4" s="1875"/>
      <c r="N4" s="1875"/>
      <c r="O4" s="1875"/>
      <c r="P4" s="1865" t="s">
        <v>439</v>
      </c>
    </row>
    <row r="5" spans="2:16" ht="63.75">
      <c r="B5" s="1861"/>
      <c r="C5" s="1863"/>
      <c r="D5" s="1" t="s">
        <v>428</v>
      </c>
      <c r="E5" s="1" t="s">
        <v>432</v>
      </c>
      <c r="F5" s="1" t="s">
        <v>433</v>
      </c>
      <c r="G5" s="1" t="s">
        <v>434</v>
      </c>
      <c r="H5" s="1" t="s">
        <v>433</v>
      </c>
      <c r="I5" s="1" t="s">
        <v>435</v>
      </c>
      <c r="J5" s="1" t="s">
        <v>437</v>
      </c>
      <c r="K5" s="1" t="s">
        <v>438</v>
      </c>
      <c r="L5" s="1" t="s">
        <v>440</v>
      </c>
      <c r="M5" s="1" t="s">
        <v>441</v>
      </c>
      <c r="N5" s="1" t="s">
        <v>437</v>
      </c>
      <c r="O5" s="1" t="s">
        <v>438</v>
      </c>
      <c r="P5" s="1869"/>
    </row>
    <row r="6" spans="2:16" ht="12.75">
      <c r="B6" s="5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6">
        <v>15</v>
      </c>
    </row>
    <row r="7" spans="2:16" ht="12.75">
      <c r="B7" s="1866" t="s">
        <v>227</v>
      </c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8"/>
    </row>
    <row r="8" spans="2:16" ht="12.75">
      <c r="B8" s="5" t="s">
        <v>124</v>
      </c>
      <c r="C8" s="2" t="s">
        <v>228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1"/>
    </row>
    <row r="9" spans="2:16" ht="12.75">
      <c r="B9" s="5" t="s">
        <v>125</v>
      </c>
      <c r="C9" s="2" t="s">
        <v>180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1"/>
    </row>
    <row r="10" spans="2:16" ht="12.75">
      <c r="B10" s="5" t="s">
        <v>174</v>
      </c>
      <c r="C10" s="2" t="s">
        <v>229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1"/>
    </row>
    <row r="11" spans="2:16" ht="12.75">
      <c r="B11" s="5" t="s">
        <v>230</v>
      </c>
      <c r="C11" s="2" t="s">
        <v>180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1"/>
    </row>
    <row r="12" spans="2:16" ht="17.25" customHeight="1">
      <c r="B12" s="5" t="s">
        <v>176</v>
      </c>
      <c r="C12" s="2" t="s">
        <v>442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1"/>
    </row>
    <row r="13" spans="2:16" ht="12.75">
      <c r="B13" s="5" t="s">
        <v>177</v>
      </c>
      <c r="C13" s="2" t="s">
        <v>228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1"/>
    </row>
    <row r="14" spans="2:16" ht="12.75">
      <c r="B14" s="5" t="s">
        <v>231</v>
      </c>
      <c r="C14" s="2" t="s">
        <v>232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1"/>
    </row>
    <row r="15" spans="2:16" ht="12.75">
      <c r="B15" s="1866" t="s">
        <v>233</v>
      </c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8"/>
    </row>
    <row r="16" spans="2:16" ht="12.75">
      <c r="B16" s="5" t="s">
        <v>124</v>
      </c>
      <c r="C16" s="2" t="s">
        <v>228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1"/>
    </row>
    <row r="17" spans="2:16" ht="12.75">
      <c r="B17" s="5" t="s">
        <v>125</v>
      </c>
      <c r="C17" s="2" t="s">
        <v>180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</row>
    <row r="18" spans="2:16" ht="12.75">
      <c r="B18" s="5" t="s">
        <v>174</v>
      </c>
      <c r="C18" s="2" t="s">
        <v>229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1"/>
    </row>
    <row r="19" spans="2:16" ht="12.75">
      <c r="B19" s="5" t="s">
        <v>230</v>
      </c>
      <c r="C19" s="2" t="s">
        <v>180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</row>
    <row r="20" spans="2:16" ht="16.5" customHeight="1">
      <c r="B20" s="5" t="s">
        <v>176</v>
      </c>
      <c r="C20" s="2" t="s">
        <v>442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1"/>
    </row>
    <row r="21" spans="2:16" ht="12.75">
      <c r="B21" s="5" t="s">
        <v>177</v>
      </c>
      <c r="C21" s="2" t="s">
        <v>228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</row>
    <row r="22" spans="2:16" ht="13.5" thickBot="1">
      <c r="B22" s="7" t="s">
        <v>231</v>
      </c>
      <c r="C22" s="8" t="s">
        <v>232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</sheetData>
  <sheetProtection/>
  <mergeCells count="9">
    <mergeCell ref="B7:P7"/>
    <mergeCell ref="B15:P15"/>
    <mergeCell ref="P4:P5"/>
    <mergeCell ref="O2:P3"/>
    <mergeCell ref="B2:K3"/>
    <mergeCell ref="D4:K4"/>
    <mergeCell ref="L4:O4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5.25390625" style="0" customWidth="1"/>
    <col min="3" max="3" width="8.75390625" style="0" customWidth="1"/>
    <col min="4" max="5" width="7.25390625" style="0" customWidth="1"/>
    <col min="6" max="6" width="10.25390625" style="0" customWidth="1"/>
    <col min="7" max="7" width="6.75390625" style="0" customWidth="1"/>
    <col min="8" max="8" width="8.00390625" style="0" customWidth="1"/>
    <col min="9" max="9" width="10.375" style="0" customWidth="1"/>
    <col min="10" max="10" width="9.75390625" style="0" customWidth="1"/>
    <col min="11" max="11" width="10.375" style="0" customWidth="1"/>
    <col min="12" max="12" width="17.875" style="0" customWidth="1"/>
    <col min="13" max="13" width="10.625" style="0" customWidth="1"/>
    <col min="14" max="14" width="6.75390625" style="0" customWidth="1"/>
    <col min="15" max="15" width="14.00390625" style="0" customWidth="1"/>
    <col min="16" max="16" width="10.375" style="0" customWidth="1"/>
    <col min="17" max="17" width="8.125" style="0" customWidth="1"/>
    <col min="18" max="18" width="7.375" style="0" customWidth="1"/>
    <col min="19" max="19" width="9.875" style="0" customWidth="1"/>
  </cols>
  <sheetData>
    <row r="1" ht="13.5" thickBot="1">
      <c r="A1" t="s">
        <v>251</v>
      </c>
    </row>
    <row r="2" spans="2:19" ht="12.75">
      <c r="B2" s="1754" t="s">
        <v>466</v>
      </c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4"/>
      <c r="N2" s="14"/>
      <c r="O2" s="14"/>
      <c r="P2" s="14"/>
      <c r="Q2" s="14"/>
      <c r="R2" s="1876" t="s">
        <v>467</v>
      </c>
      <c r="S2" s="1823"/>
    </row>
    <row r="3" spans="2:19" ht="13.5" thickBot="1">
      <c r="B3" s="1756"/>
      <c r="C3" s="1757"/>
      <c r="D3" s="1757"/>
      <c r="E3" s="1757"/>
      <c r="F3" s="1757"/>
      <c r="G3" s="1757"/>
      <c r="H3" s="1757"/>
      <c r="I3" s="1757"/>
      <c r="J3" s="1757"/>
      <c r="K3" s="1757"/>
      <c r="L3" s="1757"/>
      <c r="M3" s="42"/>
      <c r="N3" s="42"/>
      <c r="O3" s="42"/>
      <c r="P3" s="42"/>
      <c r="Q3" s="42"/>
      <c r="R3" s="1824"/>
      <c r="S3" s="1825"/>
    </row>
    <row r="4" spans="2:19" ht="12.75">
      <c r="B4" s="1860" t="s">
        <v>445</v>
      </c>
      <c r="C4" s="1862" t="s">
        <v>446</v>
      </c>
      <c r="D4" s="1862" t="s">
        <v>447</v>
      </c>
      <c r="E4" s="1862"/>
      <c r="F4" s="1862"/>
      <c r="G4" s="1862" t="s">
        <v>234</v>
      </c>
      <c r="H4" s="1875"/>
      <c r="I4" s="1875"/>
      <c r="J4" s="1875"/>
      <c r="K4" s="1875"/>
      <c r="L4" s="1875"/>
      <c r="M4" s="1875"/>
      <c r="N4" s="1862" t="s">
        <v>235</v>
      </c>
      <c r="O4" s="1875"/>
      <c r="P4" s="1875"/>
      <c r="Q4" s="1862" t="s">
        <v>448</v>
      </c>
      <c r="R4" s="1862"/>
      <c r="S4" s="1865"/>
    </row>
    <row r="5" spans="2:19" ht="51.75" customHeight="1">
      <c r="B5" s="1861"/>
      <c r="C5" s="1863"/>
      <c r="D5" s="1" t="s">
        <v>460</v>
      </c>
      <c r="E5" s="1" t="s">
        <v>450</v>
      </c>
      <c r="F5" s="1" t="s">
        <v>449</v>
      </c>
      <c r="G5" s="1" t="s">
        <v>459</v>
      </c>
      <c r="H5" s="1" t="s">
        <v>458</v>
      </c>
      <c r="I5" s="1" t="s">
        <v>457</v>
      </c>
      <c r="J5" s="1" t="s">
        <v>456</v>
      </c>
      <c r="K5" s="1" t="s">
        <v>455</v>
      </c>
      <c r="L5" s="1" t="s">
        <v>454</v>
      </c>
      <c r="M5" s="1" t="s">
        <v>452</v>
      </c>
      <c r="N5" s="1" t="s">
        <v>453</v>
      </c>
      <c r="O5" s="1" t="s">
        <v>450</v>
      </c>
      <c r="P5" s="1" t="s">
        <v>452</v>
      </c>
      <c r="Q5" s="1" t="s">
        <v>451</v>
      </c>
      <c r="R5" s="1" t="s">
        <v>450</v>
      </c>
      <c r="S5" s="6" t="s">
        <v>449</v>
      </c>
    </row>
    <row r="6" spans="2:19" ht="12.75">
      <c r="B6" s="5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6">
        <v>18</v>
      </c>
    </row>
    <row r="7" spans="2:19" ht="15" customHeight="1">
      <c r="B7" s="5"/>
      <c r="C7" s="1"/>
      <c r="D7" s="1"/>
      <c r="E7" s="1"/>
      <c r="F7" s="1" t="s">
        <v>238</v>
      </c>
      <c r="G7" s="1"/>
      <c r="H7" s="1"/>
      <c r="I7" s="1"/>
      <c r="J7" s="1"/>
      <c r="K7" s="1"/>
      <c r="L7" s="1" t="s">
        <v>461</v>
      </c>
      <c r="M7" s="1" t="s">
        <v>239</v>
      </c>
      <c r="N7" s="1"/>
      <c r="O7" s="1" t="s">
        <v>462</v>
      </c>
      <c r="P7" s="1" t="s">
        <v>240</v>
      </c>
      <c r="Q7" s="1" t="s">
        <v>463</v>
      </c>
      <c r="R7" s="1">
        <v>14</v>
      </c>
      <c r="S7" s="6" t="s">
        <v>464</v>
      </c>
    </row>
    <row r="8" spans="2:19" ht="12.75">
      <c r="B8" s="1866" t="s">
        <v>241</v>
      </c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8"/>
    </row>
    <row r="9" spans="2:19" ht="12.75">
      <c r="B9" s="49" t="s">
        <v>242</v>
      </c>
      <c r="C9" s="2" t="s">
        <v>243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</row>
    <row r="10" spans="2:19" ht="12.75">
      <c r="B10" s="49"/>
      <c r="C10" s="2" t="s">
        <v>243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</row>
    <row r="11" spans="2:19" ht="12.75">
      <c r="B11" s="49"/>
      <c r="C11" s="2" t="s">
        <v>244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2:19" ht="12.75">
      <c r="B12" s="49"/>
      <c r="C12" s="2" t="s">
        <v>245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</row>
    <row r="13" spans="2:19" ht="12.75">
      <c r="B13" s="49"/>
      <c r="C13" s="2" t="s">
        <v>246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</row>
    <row r="14" spans="2:19" ht="12.75">
      <c r="B14" s="49"/>
      <c r="C14" s="2" t="s">
        <v>247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</row>
    <row r="15" spans="2:19" ht="12.75">
      <c r="B15" s="49" t="s">
        <v>248</v>
      </c>
      <c r="C15" s="2" t="s">
        <v>247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6"/>
    </row>
    <row r="16" spans="2:19" ht="12.75">
      <c r="B16" s="49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</row>
    <row r="17" spans="2:19" ht="25.5">
      <c r="B17" s="49" t="s">
        <v>465</v>
      </c>
      <c r="C17" s="2" t="s">
        <v>243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</row>
    <row r="18" spans="2:19" ht="12.75">
      <c r="B18" s="49"/>
      <c r="C18" s="2" t="s">
        <v>243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</row>
    <row r="19" spans="2:19" ht="12.75">
      <c r="B19" s="49"/>
      <c r="C19" s="2" t="s">
        <v>244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2:19" ht="12.75">
      <c r="B20" s="49"/>
      <c r="C20" s="2" t="s">
        <v>245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2:19" ht="12.75">
      <c r="B21" s="49"/>
      <c r="C21" s="2" t="s">
        <v>246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2:19" ht="12.75">
      <c r="B22" s="1866" t="s">
        <v>249</v>
      </c>
      <c r="C22" s="1867"/>
      <c r="D22" s="1867"/>
      <c r="E22" s="1867"/>
      <c r="F22" s="1867"/>
      <c r="G22" s="1867"/>
      <c r="H22" s="1867"/>
      <c r="I22" s="1867"/>
      <c r="J22" s="1867"/>
      <c r="K22" s="1867"/>
      <c r="L22" s="1867"/>
      <c r="M22" s="1867"/>
      <c r="N22" s="1867"/>
      <c r="O22" s="1867"/>
      <c r="P22" s="1867"/>
      <c r="Q22" s="1867"/>
      <c r="R22" s="1867"/>
      <c r="S22" s="1868"/>
    </row>
    <row r="23" spans="2:19" ht="12.75">
      <c r="B23" s="49" t="s">
        <v>242</v>
      </c>
      <c r="C23" s="2" t="s">
        <v>243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2:19" ht="12.75">
      <c r="B24" s="49"/>
      <c r="C24" s="2" t="s">
        <v>243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2:19" ht="12.75">
      <c r="B25" s="49"/>
      <c r="C25" s="2" t="s">
        <v>244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2:19" ht="12.75">
      <c r="B26" s="49"/>
      <c r="C26" s="2" t="s">
        <v>245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</row>
    <row r="27" spans="2:19" ht="12.75">
      <c r="B27" s="49"/>
      <c r="C27" s="2" t="s">
        <v>246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</row>
    <row r="28" spans="2:19" ht="12.75">
      <c r="B28" s="49"/>
      <c r="C28" s="2" t="s">
        <v>247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2:19" ht="12.75">
      <c r="B29" s="49" t="s">
        <v>248</v>
      </c>
      <c r="C29" s="2" t="s">
        <v>247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2:19" ht="12.75">
      <c r="B30" s="49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2:19" ht="12.75">
      <c r="B31" s="49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2:19" ht="25.5" customHeight="1">
      <c r="B32" s="49" t="s">
        <v>465</v>
      </c>
      <c r="C32" s="2" t="s">
        <v>243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2:19" ht="12.75">
      <c r="B33" s="49"/>
      <c r="C33" s="2" t="s">
        <v>243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2:19" ht="12.75">
      <c r="B34" s="49"/>
      <c r="C34" s="2" t="s">
        <v>244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2:19" ht="12.75">
      <c r="B35" s="49"/>
      <c r="C35" s="2" t="s">
        <v>245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</row>
    <row r="36" spans="2:19" ht="13.5" thickBot="1">
      <c r="B36" s="50"/>
      <c r="C36" s="8" t="s">
        <v>246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8" ht="15.75">
      <c r="B38" s="12" t="s">
        <v>252</v>
      </c>
    </row>
  </sheetData>
  <sheetProtection/>
  <mergeCells count="10">
    <mergeCell ref="B8:S8"/>
    <mergeCell ref="B22:S22"/>
    <mergeCell ref="B4:B5"/>
    <mergeCell ref="C4:C5"/>
    <mergeCell ref="R2:S3"/>
    <mergeCell ref="B2:L3"/>
    <mergeCell ref="D4:F4"/>
    <mergeCell ref="G4:M4"/>
    <mergeCell ref="N4:P4"/>
    <mergeCell ref="Q4:S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2" max="2" width="14.875" style="0" customWidth="1"/>
    <col min="5" max="5" width="14.625" style="0" customWidth="1"/>
    <col min="6" max="6" width="13.125" style="0" customWidth="1"/>
    <col min="8" max="8" width="15.00390625" style="0" customWidth="1"/>
    <col min="9" max="9" width="13.875" style="0" customWidth="1"/>
    <col min="10" max="10" width="14.375" style="0" customWidth="1"/>
    <col min="14" max="14" width="14.625" style="0" customWidth="1"/>
    <col min="15" max="15" width="13.125" style="0" customWidth="1"/>
  </cols>
  <sheetData>
    <row r="1" ht="13.5" thickBot="1">
      <c r="A1" t="s">
        <v>274</v>
      </c>
    </row>
    <row r="2" spans="2:15" ht="12.75">
      <c r="B2" s="1737" t="s">
        <v>472</v>
      </c>
      <c r="C2" s="1738"/>
      <c r="D2" s="1738"/>
      <c r="E2" s="1738"/>
      <c r="F2" s="1738"/>
      <c r="G2" s="1738"/>
      <c r="H2" s="1738"/>
      <c r="I2" s="1738"/>
      <c r="J2" s="1879"/>
      <c r="K2" s="14"/>
      <c r="L2" s="14"/>
      <c r="M2" s="14"/>
      <c r="N2" s="1876" t="s">
        <v>473</v>
      </c>
      <c r="O2" s="1823"/>
    </row>
    <row r="3" spans="2:15" ht="13.5" thickBot="1">
      <c r="B3" s="1740"/>
      <c r="C3" s="1741"/>
      <c r="D3" s="1741"/>
      <c r="E3" s="1741"/>
      <c r="F3" s="1741"/>
      <c r="G3" s="1741"/>
      <c r="H3" s="1741"/>
      <c r="I3" s="1741"/>
      <c r="J3" s="1880"/>
      <c r="K3" s="42"/>
      <c r="L3" s="42"/>
      <c r="M3" s="42"/>
      <c r="N3" s="1824"/>
      <c r="O3" s="1825"/>
    </row>
    <row r="4" spans="2:15" ht="12.75">
      <c r="B4" s="1860" t="s">
        <v>468</v>
      </c>
      <c r="C4" s="1862" t="s">
        <v>446</v>
      </c>
      <c r="D4" s="1862" t="s">
        <v>253</v>
      </c>
      <c r="E4" s="1862"/>
      <c r="F4" s="1862"/>
      <c r="G4" s="1862"/>
      <c r="H4" s="1862"/>
      <c r="I4" s="1862"/>
      <c r="J4" s="1862" t="s">
        <v>470</v>
      </c>
      <c r="K4" s="1862" t="s">
        <v>254</v>
      </c>
      <c r="L4" s="1862"/>
      <c r="M4" s="1862" t="s">
        <v>255</v>
      </c>
      <c r="N4" s="1862"/>
      <c r="O4" s="1865"/>
    </row>
    <row r="5" spans="2:15" ht="12.75">
      <c r="B5" s="1861"/>
      <c r="C5" s="1863"/>
      <c r="D5" s="1867" t="s">
        <v>256</v>
      </c>
      <c r="E5" s="1867"/>
      <c r="F5" s="1867"/>
      <c r="G5" s="1867" t="s">
        <v>257</v>
      </c>
      <c r="H5" s="1867"/>
      <c r="I5" s="1867"/>
      <c r="J5" s="1863"/>
      <c r="K5" s="1867"/>
      <c r="L5" s="1867"/>
      <c r="M5" s="1867" t="s">
        <v>258</v>
      </c>
      <c r="N5" s="1867"/>
      <c r="O5" s="1868"/>
    </row>
    <row r="6" spans="2:15" ht="15" customHeight="1">
      <c r="B6" s="1861"/>
      <c r="C6" s="1863"/>
      <c r="D6" s="1" t="s">
        <v>1564</v>
      </c>
      <c r="E6" s="1" t="s">
        <v>279</v>
      </c>
      <c r="F6" s="1" t="s">
        <v>469</v>
      </c>
      <c r="G6" s="1" t="s">
        <v>1564</v>
      </c>
      <c r="H6" s="1" t="s">
        <v>279</v>
      </c>
      <c r="I6" s="1" t="s">
        <v>469</v>
      </c>
      <c r="J6" s="1863"/>
      <c r="K6" s="1" t="s">
        <v>259</v>
      </c>
      <c r="L6" s="1" t="s">
        <v>260</v>
      </c>
      <c r="M6" s="1" t="s">
        <v>1564</v>
      </c>
      <c r="N6" s="1" t="s">
        <v>279</v>
      </c>
      <c r="O6" s="6" t="s">
        <v>469</v>
      </c>
    </row>
    <row r="7" spans="2:15" ht="12.75">
      <c r="B7" s="5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6">
        <v>14</v>
      </c>
    </row>
    <row r="8" spans="2:15" ht="12.75">
      <c r="B8" s="1866" t="s">
        <v>261</v>
      </c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8"/>
    </row>
    <row r="9" spans="2:15" ht="12.75">
      <c r="B9" s="20" t="s">
        <v>262</v>
      </c>
      <c r="C9" s="17" t="s">
        <v>263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1"/>
    </row>
    <row r="10" spans="2:15" ht="12.75">
      <c r="B10" s="20"/>
      <c r="C10" s="17" t="s">
        <v>264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1"/>
    </row>
    <row r="11" spans="2:15" ht="12.75">
      <c r="B11" s="20"/>
      <c r="C11" s="17" t="s">
        <v>266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1"/>
    </row>
    <row r="12" spans="2:15" ht="12.75">
      <c r="B12" s="20"/>
      <c r="C12" s="17" t="s">
        <v>267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1"/>
    </row>
    <row r="13" spans="2:15" ht="12.75">
      <c r="B13" s="20"/>
      <c r="C13" s="17" t="s">
        <v>268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1"/>
    </row>
    <row r="14" spans="2:15" ht="12.75">
      <c r="B14" s="20"/>
      <c r="C14" s="17" t="s">
        <v>269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1"/>
    </row>
    <row r="15" spans="2:15" ht="12.75">
      <c r="B15" s="20" t="s">
        <v>270</v>
      </c>
      <c r="C15" s="17" t="s">
        <v>269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1"/>
    </row>
    <row r="16" spans="2:15" ht="16.5" customHeight="1">
      <c r="B16" s="20" t="s">
        <v>271</v>
      </c>
      <c r="C16" s="17" t="s">
        <v>263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1"/>
    </row>
    <row r="17" spans="2:15" ht="12.75">
      <c r="B17" s="20"/>
      <c r="C17" s="17" t="s">
        <v>264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5" ht="12.75">
      <c r="B18" s="20"/>
      <c r="C18" s="17" t="s">
        <v>266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2.75">
      <c r="B19" s="20"/>
      <c r="C19" s="17" t="s">
        <v>267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2.75">
      <c r="B20" s="20"/>
      <c r="C20" s="17" t="s">
        <v>268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12.75">
      <c r="B21" s="20"/>
      <c r="C21" s="17" t="s">
        <v>269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12.75">
      <c r="B22" s="1866" t="s">
        <v>272</v>
      </c>
      <c r="C22" s="1867"/>
      <c r="D22" s="1867"/>
      <c r="E22" s="1867"/>
      <c r="F22" s="1867"/>
      <c r="G22" s="1867"/>
      <c r="H22" s="1867"/>
      <c r="I22" s="1867"/>
      <c r="J22" s="1867"/>
      <c r="K22" s="1867"/>
      <c r="L22" s="1867"/>
      <c r="M22" s="1867"/>
      <c r="N22" s="1867"/>
      <c r="O22" s="1868"/>
    </row>
    <row r="23" spans="2:15" ht="12.75">
      <c r="B23" s="20" t="s">
        <v>262</v>
      </c>
      <c r="C23" s="17" t="s">
        <v>263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1"/>
    </row>
    <row r="24" spans="2:15" ht="12.75">
      <c r="B24" s="20"/>
      <c r="C24" s="17" t="s">
        <v>264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1"/>
    </row>
    <row r="25" spans="2:15" ht="12.75">
      <c r="B25" s="20"/>
      <c r="C25" s="17" t="s">
        <v>266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1"/>
    </row>
    <row r="26" spans="2:15" ht="12.75">
      <c r="B26" s="20"/>
      <c r="C26" s="17" t="s">
        <v>267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1"/>
    </row>
    <row r="27" spans="2:15" ht="12.75">
      <c r="B27" s="20"/>
      <c r="C27" s="17" t="s">
        <v>268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1"/>
    </row>
    <row r="28" spans="2:15" ht="12.75">
      <c r="B28" s="20"/>
      <c r="C28" s="17" t="s">
        <v>269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1"/>
    </row>
    <row r="29" spans="2:15" ht="12.75">
      <c r="B29" s="20" t="s">
        <v>273</v>
      </c>
      <c r="C29" s="17" t="s">
        <v>269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1"/>
    </row>
    <row r="30" spans="2:15" ht="14.25" customHeight="1">
      <c r="B30" s="20" t="s">
        <v>271</v>
      </c>
      <c r="C30" s="17" t="s">
        <v>263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1"/>
    </row>
    <row r="31" spans="2:15" ht="12.75">
      <c r="B31" s="20"/>
      <c r="C31" s="17" t="s">
        <v>264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1"/>
    </row>
    <row r="32" spans="2:15" ht="12.75">
      <c r="B32" s="20"/>
      <c r="C32" s="17" t="s">
        <v>266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1"/>
    </row>
    <row r="33" spans="2:15" ht="12.75">
      <c r="B33" s="20"/>
      <c r="C33" s="17" t="s">
        <v>267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1"/>
    </row>
    <row r="34" spans="2:15" ht="12.75">
      <c r="B34" s="20"/>
      <c r="C34" s="17" t="s">
        <v>268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1"/>
    </row>
    <row r="35" spans="2:15" ht="13.5" thickBot="1">
      <c r="B35" s="22"/>
      <c r="C35" s="23" t="s">
        <v>269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</row>
    <row r="37" spans="2:15" ht="12.75">
      <c r="B37" s="1877" t="s">
        <v>471</v>
      </c>
      <c r="C37" s="1878"/>
      <c r="D37" s="1878"/>
      <c r="E37" s="1878"/>
      <c r="F37" s="1878"/>
      <c r="G37" s="1878"/>
      <c r="H37" s="1878"/>
      <c r="I37" s="1878"/>
      <c r="J37" s="1878"/>
      <c r="K37" s="1878"/>
      <c r="L37" s="1878"/>
      <c r="M37" s="1878"/>
      <c r="N37" s="1878"/>
      <c r="O37" s="1878"/>
    </row>
  </sheetData>
  <sheetProtection/>
  <mergeCells count="14">
    <mergeCell ref="B8:O8"/>
    <mergeCell ref="B22:O22"/>
    <mergeCell ref="B4:B6"/>
    <mergeCell ref="C4:C6"/>
    <mergeCell ref="B37:O37"/>
    <mergeCell ref="B2:J3"/>
    <mergeCell ref="N2:O3"/>
    <mergeCell ref="D4:I4"/>
    <mergeCell ref="K4:L5"/>
    <mergeCell ref="M4:O4"/>
    <mergeCell ref="D5:F5"/>
    <mergeCell ref="G5:I5"/>
    <mergeCell ref="M5:O5"/>
    <mergeCell ref="J4:J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6">
      <selection activeCell="D10" sqref="D10"/>
    </sheetView>
  </sheetViews>
  <sheetFormatPr defaultColWidth="9.00390625" defaultRowHeight="12.75"/>
  <cols>
    <col min="3" max="3" width="15.00390625" style="0" customWidth="1"/>
    <col min="4" max="4" width="17.00390625" style="0" customWidth="1"/>
    <col min="5" max="5" width="12.25390625" style="0" customWidth="1"/>
    <col min="6" max="6" width="16.00390625" style="0" customWidth="1"/>
    <col min="7" max="8" width="13.875" style="0" customWidth="1"/>
    <col min="10" max="10" width="10.375" style="0" customWidth="1"/>
  </cols>
  <sheetData>
    <row r="1" ht="13.5" thickBot="1">
      <c r="A1" t="s">
        <v>290</v>
      </c>
    </row>
    <row r="2" spans="2:11" ht="12.75">
      <c r="B2" s="1754" t="s">
        <v>484</v>
      </c>
      <c r="C2" s="1755"/>
      <c r="D2" s="1755"/>
      <c r="E2" s="1755"/>
      <c r="F2" s="1755"/>
      <c r="G2" s="1755"/>
      <c r="H2" s="14"/>
      <c r="I2" s="14"/>
      <c r="J2" s="1876" t="s">
        <v>485</v>
      </c>
      <c r="K2" s="1823"/>
    </row>
    <row r="3" spans="2:11" ht="13.5" thickBot="1">
      <c r="B3" s="1756"/>
      <c r="C3" s="1757"/>
      <c r="D3" s="1757"/>
      <c r="E3" s="1757"/>
      <c r="F3" s="1757"/>
      <c r="G3" s="1757"/>
      <c r="H3" s="42"/>
      <c r="I3" s="42"/>
      <c r="J3" s="1824"/>
      <c r="K3" s="1825"/>
    </row>
    <row r="4" spans="2:11" ht="12.75">
      <c r="B4" s="1860" t="s">
        <v>223</v>
      </c>
      <c r="C4" s="1862" t="s">
        <v>474</v>
      </c>
      <c r="D4" s="1862" t="s">
        <v>475</v>
      </c>
      <c r="E4" s="1862" t="s">
        <v>476</v>
      </c>
      <c r="F4" s="1862" t="s">
        <v>275</v>
      </c>
      <c r="G4" s="1875"/>
      <c r="H4" s="1875"/>
      <c r="I4" s="1862" t="s">
        <v>478</v>
      </c>
      <c r="J4" s="1862"/>
      <c r="K4" s="1865"/>
    </row>
    <row r="5" spans="2:11" ht="12.75">
      <c r="B5" s="1866"/>
      <c r="C5" s="1863"/>
      <c r="D5" s="1863"/>
      <c r="E5" s="1863"/>
      <c r="F5" s="1" t="s">
        <v>477</v>
      </c>
      <c r="G5" s="1867" t="s">
        <v>276</v>
      </c>
      <c r="H5" s="1867"/>
      <c r="I5" s="1863"/>
      <c r="J5" s="1863"/>
      <c r="K5" s="1869"/>
    </row>
    <row r="6" spans="2:11" ht="56.25" customHeight="1">
      <c r="B6" s="1866"/>
      <c r="C6" s="1863"/>
      <c r="D6" s="1863"/>
      <c r="E6" s="1863"/>
      <c r="F6" s="1" t="s">
        <v>481</v>
      </c>
      <c r="G6" s="1" t="s">
        <v>482</v>
      </c>
      <c r="H6" s="1" t="s">
        <v>483</v>
      </c>
      <c r="I6" s="1" t="s">
        <v>479</v>
      </c>
      <c r="J6" s="1" t="s">
        <v>480</v>
      </c>
      <c r="K6" s="6" t="s">
        <v>277</v>
      </c>
    </row>
    <row r="7" spans="2:11" ht="12.75">
      <c r="B7" s="5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6">
        <v>10</v>
      </c>
    </row>
    <row r="8" spans="2:11" ht="12.75">
      <c r="B8" s="1866" t="s">
        <v>278</v>
      </c>
      <c r="C8" s="1867"/>
      <c r="D8" s="1867"/>
      <c r="E8" s="1867"/>
      <c r="F8" s="1867"/>
      <c r="G8" s="1867"/>
      <c r="H8" s="1867"/>
      <c r="I8" s="1867"/>
      <c r="J8" s="1867"/>
      <c r="K8" s="1868"/>
    </row>
    <row r="9" spans="2:11" ht="12.75">
      <c r="B9" s="5"/>
      <c r="C9" s="2" t="s">
        <v>279</v>
      </c>
      <c r="D9" s="17"/>
      <c r="E9" s="17"/>
      <c r="F9" s="17"/>
      <c r="G9" s="17"/>
      <c r="H9" s="17"/>
      <c r="I9" s="17"/>
      <c r="J9" s="17"/>
      <c r="K9" s="21"/>
    </row>
    <row r="10" spans="2:11" ht="12.75">
      <c r="B10" s="5" t="s">
        <v>1383</v>
      </c>
      <c r="C10" s="2" t="s">
        <v>280</v>
      </c>
      <c r="D10" s="17"/>
      <c r="E10" s="17"/>
      <c r="F10" s="17"/>
      <c r="G10" s="17"/>
      <c r="H10" s="17"/>
      <c r="I10" s="17"/>
      <c r="J10" s="17"/>
      <c r="K10" s="21"/>
    </row>
    <row r="11" spans="2:11" ht="12.75">
      <c r="B11" s="5"/>
      <c r="C11" s="2" t="s">
        <v>281</v>
      </c>
      <c r="D11" s="17"/>
      <c r="E11" s="17"/>
      <c r="F11" s="17"/>
      <c r="G11" s="17"/>
      <c r="H11" s="17"/>
      <c r="I11" s="17"/>
      <c r="J11" s="17"/>
      <c r="K11" s="21"/>
    </row>
    <row r="12" spans="2:11" ht="12.75">
      <c r="B12" s="5" t="s">
        <v>125</v>
      </c>
      <c r="C12" s="2" t="s">
        <v>282</v>
      </c>
      <c r="D12" s="17"/>
      <c r="E12" s="17"/>
      <c r="F12" s="17"/>
      <c r="G12" s="17"/>
      <c r="H12" s="17"/>
      <c r="I12" s="17"/>
      <c r="J12" s="17"/>
      <c r="K12" s="21"/>
    </row>
    <row r="13" spans="2:11" ht="12.75">
      <c r="B13" s="5" t="s">
        <v>128</v>
      </c>
      <c r="C13" s="2" t="s">
        <v>283</v>
      </c>
      <c r="D13" s="17"/>
      <c r="E13" s="17"/>
      <c r="F13" s="17"/>
      <c r="G13" s="17"/>
      <c r="H13" s="17"/>
      <c r="I13" s="17"/>
      <c r="J13" s="17"/>
      <c r="K13" s="21"/>
    </row>
    <row r="14" spans="2:11" ht="12.75">
      <c r="B14" s="5" t="s">
        <v>129</v>
      </c>
      <c r="C14" s="2" t="s">
        <v>284</v>
      </c>
      <c r="D14" s="17"/>
      <c r="E14" s="17"/>
      <c r="F14" s="17"/>
      <c r="G14" s="17"/>
      <c r="H14" s="17"/>
      <c r="I14" s="17"/>
      <c r="J14" s="17"/>
      <c r="K14" s="21"/>
    </row>
    <row r="15" spans="2:11" ht="12.75">
      <c r="B15" s="5" t="s">
        <v>285</v>
      </c>
      <c r="C15" s="2"/>
      <c r="D15" s="17"/>
      <c r="E15" s="17"/>
      <c r="F15" s="17"/>
      <c r="G15" s="17"/>
      <c r="H15" s="17"/>
      <c r="I15" s="17"/>
      <c r="J15" s="17"/>
      <c r="K15" s="21"/>
    </row>
    <row r="16" spans="2:11" ht="12.75">
      <c r="B16" s="5"/>
      <c r="C16" s="2"/>
      <c r="D16" s="17"/>
      <c r="E16" s="17"/>
      <c r="F16" s="17"/>
      <c r="G16" s="17"/>
      <c r="H16" s="17"/>
      <c r="I16" s="17"/>
      <c r="J16" s="17"/>
      <c r="K16" s="21"/>
    </row>
    <row r="17" spans="2:11" ht="12.75">
      <c r="B17" s="5"/>
      <c r="C17" s="2" t="s">
        <v>286</v>
      </c>
      <c r="D17" s="17"/>
      <c r="E17" s="17"/>
      <c r="F17" s="17"/>
      <c r="G17" s="17"/>
      <c r="H17" s="17"/>
      <c r="I17" s="17"/>
      <c r="J17" s="17"/>
      <c r="K17" s="21"/>
    </row>
    <row r="18" spans="2:11" ht="12.75">
      <c r="B18" s="5" t="s">
        <v>1383</v>
      </c>
      <c r="C18" s="2" t="s">
        <v>280</v>
      </c>
      <c r="D18" s="17"/>
      <c r="E18" s="17"/>
      <c r="F18" s="17"/>
      <c r="G18" s="17"/>
      <c r="H18" s="17"/>
      <c r="I18" s="17"/>
      <c r="J18" s="17"/>
      <c r="K18" s="21"/>
    </row>
    <row r="19" spans="2:11" ht="12.75">
      <c r="B19" s="5"/>
      <c r="C19" s="2" t="s">
        <v>281</v>
      </c>
      <c r="D19" s="17"/>
      <c r="E19" s="17"/>
      <c r="F19" s="17"/>
      <c r="G19" s="17"/>
      <c r="H19" s="17"/>
      <c r="I19" s="17"/>
      <c r="J19" s="17"/>
      <c r="K19" s="21"/>
    </row>
    <row r="20" spans="2:11" ht="12.75">
      <c r="B20" s="5" t="s">
        <v>125</v>
      </c>
      <c r="C20" s="2" t="s">
        <v>283</v>
      </c>
      <c r="D20" s="17"/>
      <c r="E20" s="17"/>
      <c r="F20" s="17"/>
      <c r="G20" s="17"/>
      <c r="H20" s="17"/>
      <c r="I20" s="17"/>
      <c r="J20" s="17"/>
      <c r="K20" s="21"/>
    </row>
    <row r="21" spans="2:11" ht="12.75">
      <c r="B21" s="5" t="s">
        <v>128</v>
      </c>
      <c r="C21" s="2" t="s">
        <v>287</v>
      </c>
      <c r="D21" s="17"/>
      <c r="E21" s="17"/>
      <c r="F21" s="17"/>
      <c r="G21" s="17"/>
      <c r="H21" s="17"/>
      <c r="I21" s="17"/>
      <c r="J21" s="17"/>
      <c r="K21" s="21"/>
    </row>
    <row r="22" spans="2:11" ht="12.75">
      <c r="B22" s="5" t="s">
        <v>129</v>
      </c>
      <c r="C22" s="2" t="s">
        <v>284</v>
      </c>
      <c r="D22" s="17"/>
      <c r="E22" s="17"/>
      <c r="F22" s="17"/>
      <c r="G22" s="17"/>
      <c r="H22" s="17"/>
      <c r="I22" s="17"/>
      <c r="J22" s="17"/>
      <c r="K22" s="21"/>
    </row>
    <row r="23" spans="2:11" ht="12.75">
      <c r="B23" s="5" t="s">
        <v>285</v>
      </c>
      <c r="C23" s="2"/>
      <c r="D23" s="17"/>
      <c r="E23" s="17"/>
      <c r="F23" s="17"/>
      <c r="G23" s="17"/>
      <c r="H23" s="17"/>
      <c r="I23" s="17"/>
      <c r="J23" s="17"/>
      <c r="K23" s="21"/>
    </row>
    <row r="24" spans="2:11" ht="12.75">
      <c r="B24" s="5"/>
      <c r="C24" s="2"/>
      <c r="D24" s="17"/>
      <c r="E24" s="17"/>
      <c r="F24" s="17"/>
      <c r="G24" s="17"/>
      <c r="H24" s="17"/>
      <c r="I24" s="17"/>
      <c r="J24" s="17"/>
      <c r="K24" s="21"/>
    </row>
    <row r="25" spans="2:11" ht="12.75">
      <c r="B25" s="5" t="s">
        <v>1398</v>
      </c>
      <c r="C25" s="2" t="s">
        <v>288</v>
      </c>
      <c r="D25" s="17"/>
      <c r="E25" s="17"/>
      <c r="F25" s="17"/>
      <c r="G25" s="17"/>
      <c r="H25" s="17"/>
      <c r="I25" s="17"/>
      <c r="J25" s="17"/>
      <c r="K25" s="21"/>
    </row>
    <row r="26" spans="2:11" ht="12.75">
      <c r="B26" s="1881" t="s">
        <v>289</v>
      </c>
      <c r="C26" s="1882"/>
      <c r="D26" s="1882"/>
      <c r="E26" s="1882"/>
      <c r="F26" s="1882"/>
      <c r="G26" s="1882"/>
      <c r="H26" s="1882"/>
      <c r="I26" s="1882"/>
      <c r="J26" s="1882"/>
      <c r="K26" s="1883"/>
    </row>
    <row r="27" spans="2:11" ht="12.75">
      <c r="B27" s="5"/>
      <c r="C27" s="2" t="s">
        <v>279</v>
      </c>
      <c r="D27" s="17"/>
      <c r="E27" s="17"/>
      <c r="F27" s="17"/>
      <c r="G27" s="17"/>
      <c r="H27" s="17"/>
      <c r="I27" s="17"/>
      <c r="J27" s="17"/>
      <c r="K27" s="21"/>
    </row>
    <row r="28" spans="2:11" ht="12.75">
      <c r="B28" s="5" t="s">
        <v>1383</v>
      </c>
      <c r="C28" s="2" t="s">
        <v>280</v>
      </c>
      <c r="D28" s="17"/>
      <c r="E28" s="17"/>
      <c r="F28" s="17"/>
      <c r="G28" s="17"/>
      <c r="H28" s="17"/>
      <c r="I28" s="17"/>
      <c r="J28" s="17"/>
      <c r="K28" s="21"/>
    </row>
    <row r="29" spans="2:11" ht="12.75">
      <c r="B29" s="5"/>
      <c r="C29" s="2" t="s">
        <v>281</v>
      </c>
      <c r="D29" s="17"/>
      <c r="E29" s="17"/>
      <c r="F29" s="17"/>
      <c r="G29" s="17"/>
      <c r="H29" s="17"/>
      <c r="I29" s="17"/>
      <c r="J29" s="17"/>
      <c r="K29" s="21"/>
    </row>
    <row r="30" spans="2:11" ht="12.75">
      <c r="B30" s="5" t="s">
        <v>125</v>
      </c>
      <c r="C30" s="2" t="s">
        <v>282</v>
      </c>
      <c r="D30" s="17"/>
      <c r="E30" s="17"/>
      <c r="F30" s="17"/>
      <c r="G30" s="17"/>
      <c r="H30" s="17"/>
      <c r="I30" s="17"/>
      <c r="J30" s="17"/>
      <c r="K30" s="21"/>
    </row>
    <row r="31" spans="2:11" ht="12.75">
      <c r="B31" s="5" t="s">
        <v>128</v>
      </c>
      <c r="C31" s="2" t="s">
        <v>283</v>
      </c>
      <c r="D31" s="17"/>
      <c r="E31" s="17"/>
      <c r="F31" s="17"/>
      <c r="G31" s="17"/>
      <c r="H31" s="17"/>
      <c r="I31" s="17"/>
      <c r="J31" s="17"/>
      <c r="K31" s="21"/>
    </row>
    <row r="32" spans="2:11" ht="12.75">
      <c r="B32" s="5" t="s">
        <v>129</v>
      </c>
      <c r="C32" s="2" t="s">
        <v>284</v>
      </c>
      <c r="D32" s="17"/>
      <c r="E32" s="17"/>
      <c r="F32" s="17"/>
      <c r="G32" s="17"/>
      <c r="H32" s="17"/>
      <c r="I32" s="17"/>
      <c r="J32" s="17"/>
      <c r="K32" s="21"/>
    </row>
    <row r="33" spans="2:11" ht="12.75">
      <c r="B33" s="5" t="s">
        <v>285</v>
      </c>
      <c r="C33" s="2"/>
      <c r="D33" s="17"/>
      <c r="E33" s="17"/>
      <c r="F33" s="17"/>
      <c r="G33" s="17"/>
      <c r="H33" s="17"/>
      <c r="I33" s="17"/>
      <c r="J33" s="17"/>
      <c r="K33" s="21"/>
    </row>
    <row r="34" spans="2:11" ht="12.75">
      <c r="B34" s="5"/>
      <c r="C34" s="2"/>
      <c r="D34" s="17"/>
      <c r="E34" s="17"/>
      <c r="F34" s="17"/>
      <c r="G34" s="17"/>
      <c r="H34" s="17"/>
      <c r="I34" s="17"/>
      <c r="J34" s="17"/>
      <c r="K34" s="21"/>
    </row>
    <row r="35" spans="2:11" ht="12.75">
      <c r="B35" s="5"/>
      <c r="C35" s="2" t="s">
        <v>286</v>
      </c>
      <c r="D35" s="17"/>
      <c r="E35" s="17"/>
      <c r="F35" s="17"/>
      <c r="G35" s="17"/>
      <c r="H35" s="17"/>
      <c r="I35" s="17"/>
      <c r="J35" s="17"/>
      <c r="K35" s="21"/>
    </row>
    <row r="36" spans="2:11" ht="12.75">
      <c r="B36" s="5" t="s">
        <v>1383</v>
      </c>
      <c r="C36" s="2" t="s">
        <v>280</v>
      </c>
      <c r="D36" s="17"/>
      <c r="E36" s="17"/>
      <c r="F36" s="17"/>
      <c r="G36" s="17"/>
      <c r="H36" s="17"/>
      <c r="I36" s="17"/>
      <c r="J36" s="17"/>
      <c r="K36" s="21"/>
    </row>
    <row r="37" spans="2:11" ht="12.75">
      <c r="B37" s="5"/>
      <c r="C37" s="2" t="s">
        <v>281</v>
      </c>
      <c r="D37" s="17"/>
      <c r="E37" s="17"/>
      <c r="F37" s="17"/>
      <c r="G37" s="17"/>
      <c r="H37" s="17"/>
      <c r="I37" s="17"/>
      <c r="J37" s="17"/>
      <c r="K37" s="21"/>
    </row>
    <row r="38" spans="2:11" ht="12.75">
      <c r="B38" s="5" t="s">
        <v>125</v>
      </c>
      <c r="C38" s="2" t="s">
        <v>283</v>
      </c>
      <c r="D38" s="17"/>
      <c r="E38" s="17"/>
      <c r="F38" s="17"/>
      <c r="G38" s="17"/>
      <c r="H38" s="17"/>
      <c r="I38" s="17"/>
      <c r="J38" s="17"/>
      <c r="K38" s="21"/>
    </row>
    <row r="39" spans="2:11" ht="12.75">
      <c r="B39" s="5" t="s">
        <v>128</v>
      </c>
      <c r="C39" s="2" t="s">
        <v>287</v>
      </c>
      <c r="D39" s="17"/>
      <c r="E39" s="17"/>
      <c r="F39" s="17"/>
      <c r="G39" s="17"/>
      <c r="H39" s="17"/>
      <c r="I39" s="17"/>
      <c r="J39" s="17"/>
      <c r="K39" s="21"/>
    </row>
    <row r="40" spans="2:11" ht="12.75">
      <c r="B40" s="5" t="s">
        <v>129</v>
      </c>
      <c r="C40" s="2" t="s">
        <v>284</v>
      </c>
      <c r="D40" s="17"/>
      <c r="E40" s="17"/>
      <c r="F40" s="17"/>
      <c r="G40" s="17"/>
      <c r="H40" s="17"/>
      <c r="I40" s="17"/>
      <c r="J40" s="17"/>
      <c r="K40" s="21"/>
    </row>
    <row r="41" spans="2:11" ht="12.75">
      <c r="B41" s="5" t="s">
        <v>285</v>
      </c>
      <c r="C41" s="2"/>
      <c r="D41" s="17"/>
      <c r="E41" s="17"/>
      <c r="F41" s="17"/>
      <c r="G41" s="17"/>
      <c r="H41" s="17"/>
      <c r="I41" s="17"/>
      <c r="J41" s="17"/>
      <c r="K41" s="21"/>
    </row>
    <row r="42" spans="2:11" ht="12.75">
      <c r="B42" s="5"/>
      <c r="C42" s="2"/>
      <c r="D42" s="17"/>
      <c r="E42" s="17"/>
      <c r="F42" s="17"/>
      <c r="G42" s="17"/>
      <c r="H42" s="17"/>
      <c r="I42" s="17"/>
      <c r="J42" s="17"/>
      <c r="K42" s="21"/>
    </row>
    <row r="43" spans="2:11" ht="13.5" thickBot="1">
      <c r="B43" s="7" t="s">
        <v>1398</v>
      </c>
      <c r="C43" s="8" t="s">
        <v>288</v>
      </c>
      <c r="D43" s="23"/>
      <c r="E43" s="23"/>
      <c r="F43" s="23"/>
      <c r="G43" s="23"/>
      <c r="H43" s="23"/>
      <c r="I43" s="23"/>
      <c r="J43" s="23"/>
      <c r="K43" s="24"/>
    </row>
    <row r="45" spans="2:11" ht="12.75">
      <c r="B45" s="1877" t="s">
        <v>486</v>
      </c>
      <c r="C45" s="1878"/>
      <c r="D45" s="1878"/>
      <c r="E45" s="1878"/>
      <c r="F45" s="1878"/>
      <c r="G45" s="1878"/>
      <c r="H45" s="1878"/>
      <c r="I45" s="1878"/>
      <c r="J45" s="1878"/>
      <c r="K45" s="1878"/>
    </row>
    <row r="46" spans="2:11" ht="12.75">
      <c r="B46" s="1878"/>
      <c r="C46" s="1878"/>
      <c r="D46" s="1878"/>
      <c r="E46" s="1878"/>
      <c r="F46" s="1878"/>
      <c r="G46" s="1878"/>
      <c r="H46" s="1878"/>
      <c r="I46" s="1878"/>
      <c r="J46" s="1878"/>
      <c r="K46" s="1878"/>
    </row>
    <row r="47" spans="2:11" ht="12.75">
      <c r="B47" s="1877" t="s">
        <v>291</v>
      </c>
      <c r="C47" s="1878"/>
      <c r="D47" s="1878"/>
      <c r="E47" s="1878"/>
      <c r="F47" s="1878"/>
      <c r="G47" s="1878"/>
      <c r="H47" s="1878"/>
      <c r="I47" s="1878"/>
      <c r="J47" s="1878"/>
      <c r="K47" s="1878"/>
    </row>
  </sheetData>
  <sheetProtection/>
  <mergeCells count="13">
    <mergeCell ref="B2:G3"/>
    <mergeCell ref="J2:K3"/>
    <mergeCell ref="G5:H5"/>
    <mergeCell ref="F4:H4"/>
    <mergeCell ref="I4:K5"/>
    <mergeCell ref="B47:K47"/>
    <mergeCell ref="B8:K8"/>
    <mergeCell ref="B26:K26"/>
    <mergeCell ref="B4:B6"/>
    <mergeCell ref="C4:C6"/>
    <mergeCell ref="B45:K46"/>
    <mergeCell ref="D4:D6"/>
    <mergeCell ref="E4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oge5</dc:creator>
  <cp:keywords/>
  <dc:description/>
  <cp:lastModifiedBy>Татьяна В. Лобашова</cp:lastModifiedBy>
  <cp:lastPrinted>2014-12-01T08:04:10Z</cp:lastPrinted>
  <dcterms:created xsi:type="dcterms:W3CDTF">2004-11-15T19:32:23Z</dcterms:created>
  <dcterms:modified xsi:type="dcterms:W3CDTF">2019-04-01T05:24:46Z</dcterms:modified>
  <cp:category/>
  <cp:version/>
  <cp:contentType/>
  <cp:contentStatus/>
</cp:coreProperties>
</file>